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Rebalans 2022\"/>
    </mc:Choice>
  </mc:AlternateContent>
  <xr:revisionPtr revIDLastSave="0" documentId="13_ncr:1_{36D2EAE8-EFCE-475C-BE66-C45EF0301474}" xr6:coauthVersionLast="36" xr6:coauthVersionMax="36" xr10:uidLastSave="{00000000-0000-0000-0000-000000000000}"/>
  <workbookProtection workbookAlgorithmName="SHA-512" workbookHashValue="qOnb//udeFxHOVTW8n5Da7IV8Zvl2CMm6mgDQpJ4ZuWAiZD+B/YuKkoh7AGawXhtYd6485P8EoLlcBnyc/DQFg==" workbookSaltValue="IRelSL3UKrmbXLoVa3BAUQ==" workbookSpinCount="100000" lockStructure="1"/>
  <bookViews>
    <workbookView xWindow="0" yWindow="0" windowWidth="28800" windowHeight="12225" xr2:uid="{00000000-000D-0000-FFFF-FFFF00000000}"/>
  </bookViews>
  <sheets>
    <sheet name="opći dio" sheetId="10" r:id="rId1"/>
    <sheet name="Plan za unos u SAP" sheetId="2" r:id="rId2"/>
    <sheet name="prihodi i primici" sheetId="9" r:id="rId3"/>
    <sheet name="rashodi i izdaci" sheetId="12" r:id="rId4"/>
    <sheet name="Pregled po sastavnicama" sheetId="8" r:id="rId5"/>
    <sheet name="plan 2021-2023 po sastavnicama" sheetId="13" r:id="rId6"/>
  </sheets>
  <externalReferences>
    <externalReference r:id="rId7"/>
    <externalReference r:id="rId8"/>
  </externalReferences>
  <definedNames>
    <definedName name="_FiltarBaze" localSheetId="1" hidden="1">'Plan za unos u SAP'!$A$5:$AI$919</definedName>
    <definedName name="_xlnm._FilterDatabase" localSheetId="1" hidden="1">'Plan za unos u SAP'!$A$5:$AI$972</definedName>
  </definedNames>
  <calcPr calcId="191029"/>
  <fileRecoveryPr autoRecover="0"/>
</workbook>
</file>

<file path=xl/calcChain.xml><?xml version="1.0" encoding="utf-8"?>
<calcChain xmlns="http://schemas.openxmlformats.org/spreadsheetml/2006/main">
  <c r="M22" i="9" l="1"/>
  <c r="G549" i="2"/>
  <c r="H549" i="2"/>
  <c r="I549" i="2"/>
  <c r="O29" i="9"/>
  <c r="G968" i="2"/>
  <c r="H968" i="2"/>
  <c r="I968" i="2"/>
  <c r="H476" i="2" l="1"/>
  <c r="H469" i="2"/>
  <c r="H468" i="2"/>
  <c r="H467" i="2"/>
  <c r="H466" i="2"/>
  <c r="H461" i="2"/>
  <c r="H460" i="2"/>
  <c r="H456" i="2"/>
  <c r="H454" i="2"/>
  <c r="H450" i="2"/>
  <c r="H446" i="2"/>
  <c r="H427" i="2"/>
  <c r="H399" i="2"/>
  <c r="H396" i="2"/>
  <c r="H391" i="2"/>
  <c r="H390" i="2"/>
  <c r="H387" i="2"/>
  <c r="H384" i="2"/>
  <c r="H380" i="2"/>
  <c r="H321" i="2"/>
  <c r="H310" i="2"/>
  <c r="H257" i="2"/>
  <c r="H256" i="2"/>
  <c r="H249" i="2"/>
  <c r="H248" i="2"/>
  <c r="H246" i="2"/>
  <c r="H226" i="2"/>
  <c r="H228" i="2"/>
  <c r="H230" i="2"/>
  <c r="H234" i="2"/>
  <c r="H237" i="2"/>
  <c r="H242" i="2"/>
  <c r="H120" i="2"/>
  <c r="H115" i="2"/>
  <c r="H113" i="2"/>
  <c r="H112" i="2"/>
  <c r="H110" i="2"/>
  <c r="H106" i="2"/>
  <c r="H98" i="2"/>
  <c r="H94" i="2"/>
  <c r="H90" i="2"/>
  <c r="G936" i="2" l="1"/>
  <c r="G950" i="2"/>
  <c r="G274" i="2"/>
  <c r="G256" i="2"/>
  <c r="G252" i="2"/>
  <c r="G234" i="2"/>
  <c r="G230" i="2"/>
  <c r="G228" i="2"/>
  <c r="G222" i="2"/>
  <c r="G380" i="2"/>
  <c r="G378" i="2"/>
  <c r="G372" i="2"/>
  <c r="G39" i="2"/>
  <c r="BW390" i="13" l="1"/>
  <c r="BV390" i="13"/>
  <c r="BU390" i="13"/>
  <c r="R390" i="13"/>
  <c r="AA390" i="13" s="1"/>
  <c r="BT390" i="13" s="1"/>
  <c r="Q390" i="13"/>
  <c r="Z390" i="13" s="1"/>
  <c r="BS390" i="13" s="1"/>
  <c r="P390" i="13"/>
  <c r="Y390" i="13" s="1"/>
  <c r="BW389" i="13"/>
  <c r="BV389" i="13"/>
  <c r="BU389" i="13"/>
  <c r="R389" i="13"/>
  <c r="AA389" i="13" s="1"/>
  <c r="BT389" i="13" s="1"/>
  <c r="Q389" i="13"/>
  <c r="Z389" i="13" s="1"/>
  <c r="BS389" i="13" s="1"/>
  <c r="P389" i="13"/>
  <c r="Y389" i="13" s="1"/>
  <c r="BR389" i="13" s="1"/>
  <c r="BW382" i="13"/>
  <c r="BV382" i="13"/>
  <c r="BU382" i="13"/>
  <c r="BT382" i="13"/>
  <c r="BQ382" i="13"/>
  <c r="BP382" i="13"/>
  <c r="BO382" i="13"/>
  <c r="BN382" i="13"/>
  <c r="BM382" i="13"/>
  <c r="BL382" i="13"/>
  <c r="BK382" i="13"/>
  <c r="BJ382" i="13"/>
  <c r="BI382" i="13"/>
  <c r="BH382" i="13"/>
  <c r="BG382" i="13"/>
  <c r="BF382" i="13"/>
  <c r="BE382" i="13"/>
  <c r="BD382" i="13"/>
  <c r="BC382" i="13"/>
  <c r="BB382" i="13"/>
  <c r="BA382" i="13"/>
  <c r="AZ382" i="13"/>
  <c r="AY382" i="13"/>
  <c r="AX382" i="13"/>
  <c r="AW382" i="13"/>
  <c r="AV382" i="13"/>
  <c r="AU382" i="13"/>
  <c r="AT382" i="13"/>
  <c r="AS382" i="13"/>
  <c r="AR382" i="13"/>
  <c r="AQ382" i="13"/>
  <c r="AP382" i="13"/>
  <c r="AO382" i="13"/>
  <c r="AN382" i="13"/>
  <c r="AM382" i="13"/>
  <c r="AL382" i="13"/>
  <c r="AK382" i="13"/>
  <c r="AJ382" i="13"/>
  <c r="AI382" i="13"/>
  <c r="AH382" i="13"/>
  <c r="AG382" i="13"/>
  <c r="AF382" i="13"/>
  <c r="AE382" i="13"/>
  <c r="AD382" i="13"/>
  <c r="AC382" i="13"/>
  <c r="AB382" i="13"/>
  <c r="X382" i="13"/>
  <c r="W382" i="13"/>
  <c r="V382" i="13"/>
  <c r="U382" i="13"/>
  <c r="T382" i="13"/>
  <c r="S382" i="13"/>
  <c r="R382" i="13"/>
  <c r="Q382" i="13"/>
  <c r="P382" i="13"/>
  <c r="O382" i="13"/>
  <c r="N382" i="13"/>
  <c r="M382" i="13"/>
  <c r="L382" i="13"/>
  <c r="K382" i="13"/>
  <c r="J382" i="13"/>
  <c r="AA381" i="13"/>
  <c r="BT381" i="13" s="1"/>
  <c r="Z381" i="13"/>
  <c r="BS381" i="13" s="1"/>
  <c r="H381" i="13" s="1"/>
  <c r="Y381" i="13"/>
  <c r="BR381" i="13" s="1"/>
  <c r="G381" i="13" s="1"/>
  <c r="I381" i="13"/>
  <c r="BT380" i="13"/>
  <c r="AA380" i="13"/>
  <c r="Z380" i="13"/>
  <c r="BS380" i="13" s="1"/>
  <c r="Y380" i="13"/>
  <c r="BR380" i="13" s="1"/>
  <c r="I380" i="13"/>
  <c r="BW379" i="13"/>
  <c r="BV379" i="13"/>
  <c r="BU379" i="13"/>
  <c r="BQ379" i="13"/>
  <c r="BP379" i="13"/>
  <c r="BO379" i="13"/>
  <c r="BN379" i="13"/>
  <c r="BM379" i="13"/>
  <c r="BL379" i="13"/>
  <c r="BK379" i="13"/>
  <c r="BJ379" i="13"/>
  <c r="BI379" i="13"/>
  <c r="BH379" i="13"/>
  <c r="BG379" i="13"/>
  <c r="BF379" i="13"/>
  <c r="BE379" i="13"/>
  <c r="BD379" i="13"/>
  <c r="BC379" i="13"/>
  <c r="BB379" i="13"/>
  <c r="BA379" i="13"/>
  <c r="AZ379" i="13"/>
  <c r="AY379" i="13"/>
  <c r="AX379" i="13"/>
  <c r="AW379" i="13"/>
  <c r="AV379" i="13"/>
  <c r="AU379" i="13"/>
  <c r="AT379" i="13"/>
  <c r="AS379" i="13"/>
  <c r="AR379" i="13"/>
  <c r="AQ379" i="13"/>
  <c r="AP379" i="13"/>
  <c r="AO379" i="13"/>
  <c r="AN379" i="13"/>
  <c r="AM379" i="13"/>
  <c r="AL379" i="13"/>
  <c r="AK379" i="13"/>
  <c r="AJ379" i="13"/>
  <c r="AI379" i="13"/>
  <c r="AH379" i="13"/>
  <c r="AG379" i="13"/>
  <c r="AF379" i="13"/>
  <c r="AE379" i="13"/>
  <c r="AD379" i="13"/>
  <c r="AC379" i="13"/>
  <c r="AB379" i="13"/>
  <c r="AA379" i="13"/>
  <c r="X379" i="13"/>
  <c r="W379" i="13"/>
  <c r="V379" i="13"/>
  <c r="U379" i="13"/>
  <c r="T379" i="13"/>
  <c r="S379" i="13"/>
  <c r="R379" i="13"/>
  <c r="Q379" i="13"/>
  <c r="P379" i="13"/>
  <c r="O379" i="13"/>
  <c r="N379" i="13"/>
  <c r="M379" i="13"/>
  <c r="L379" i="13"/>
  <c r="K379" i="13"/>
  <c r="J379" i="13"/>
  <c r="BS378" i="13"/>
  <c r="BS379" i="13" s="1"/>
  <c r="AA378" i="13"/>
  <c r="BT378" i="13" s="1"/>
  <c r="Z378" i="13"/>
  <c r="Z379" i="13" s="1"/>
  <c r="Y378" i="13"/>
  <c r="Y379" i="13" s="1"/>
  <c r="BW377" i="13"/>
  <c r="BV377" i="13"/>
  <c r="BU377" i="13"/>
  <c r="BQ377" i="13"/>
  <c r="BP377" i="13"/>
  <c r="BO377" i="13"/>
  <c r="BN377" i="13"/>
  <c r="BM377" i="13"/>
  <c r="BL377" i="13"/>
  <c r="BK377" i="13"/>
  <c r="BJ377" i="13"/>
  <c r="BI377" i="13"/>
  <c r="BH377" i="13"/>
  <c r="BG377" i="13"/>
  <c r="BF377" i="13"/>
  <c r="BE377" i="13"/>
  <c r="BD377" i="13"/>
  <c r="BC377" i="13"/>
  <c r="BB377" i="13"/>
  <c r="BA377" i="13"/>
  <c r="AZ377" i="13"/>
  <c r="AY377" i="13"/>
  <c r="AX377" i="13"/>
  <c r="AW377" i="13"/>
  <c r="AV377" i="13"/>
  <c r="AU377" i="13"/>
  <c r="AT377" i="13"/>
  <c r="AS377" i="13"/>
  <c r="AR377" i="13"/>
  <c r="AQ377" i="13"/>
  <c r="AP377" i="13"/>
  <c r="AO377" i="13"/>
  <c r="AN377" i="13"/>
  <c r="AM377" i="13"/>
  <c r="AL377" i="13"/>
  <c r="AK377" i="13"/>
  <c r="AJ377" i="13"/>
  <c r="AI377" i="13"/>
  <c r="AH377" i="13"/>
  <c r="AG377" i="13"/>
  <c r="AF377" i="13"/>
  <c r="AE377" i="13"/>
  <c r="AD377" i="13"/>
  <c r="AC377" i="13"/>
  <c r="AB377" i="13"/>
  <c r="Z377" i="13"/>
  <c r="X377" i="13"/>
  <c r="W377" i="13"/>
  <c r="V377" i="13"/>
  <c r="U377" i="13"/>
  <c r="T377" i="13"/>
  <c r="S377" i="13"/>
  <c r="R377" i="13"/>
  <c r="Q377" i="13"/>
  <c r="P377" i="13"/>
  <c r="O377" i="13"/>
  <c r="N377" i="13"/>
  <c r="M377" i="13"/>
  <c r="L377" i="13"/>
  <c r="K377" i="13"/>
  <c r="J377" i="13"/>
  <c r="BT376" i="13"/>
  <c r="BR376" i="13"/>
  <c r="AA376" i="13"/>
  <c r="Z376" i="13"/>
  <c r="BS376" i="13" s="1"/>
  <c r="H376" i="13" s="1"/>
  <c r="Y376" i="13"/>
  <c r="I376" i="13"/>
  <c r="G376" i="13"/>
  <c r="BT375" i="13"/>
  <c r="BS375" i="13"/>
  <c r="H375" i="13" s="1"/>
  <c r="H377" i="13" s="1"/>
  <c r="BR375" i="13"/>
  <c r="G375" i="13" s="1"/>
  <c r="G377" i="13" s="1"/>
  <c r="AA375" i="13"/>
  <c r="AA377" i="13" s="1"/>
  <c r="Z375" i="13"/>
  <c r="Y375" i="13"/>
  <c r="Y377" i="13" s="1"/>
  <c r="BW374" i="13"/>
  <c r="BV374" i="13"/>
  <c r="BU374" i="13"/>
  <c r="BT374" i="13"/>
  <c r="BQ374" i="13"/>
  <c r="BP374" i="13"/>
  <c r="BO374" i="13"/>
  <c r="BN374" i="13"/>
  <c r="BM374" i="13"/>
  <c r="BL374" i="13"/>
  <c r="BK374" i="13"/>
  <c r="BJ374" i="13"/>
  <c r="BI374" i="13"/>
  <c r="BH374" i="13"/>
  <c r="BG374" i="13"/>
  <c r="BF374" i="13"/>
  <c r="BE374" i="13"/>
  <c r="BD374" i="13"/>
  <c r="BC374" i="13"/>
  <c r="BB374" i="13"/>
  <c r="BA374" i="13"/>
  <c r="AZ374" i="13"/>
  <c r="AY374" i="13"/>
  <c r="AX374" i="13"/>
  <c r="AW374" i="13"/>
  <c r="AV374" i="13"/>
  <c r="AU374" i="13"/>
  <c r="AT374" i="13"/>
  <c r="AS374" i="13"/>
  <c r="AR374" i="13"/>
  <c r="AQ374" i="13"/>
  <c r="AP374" i="13"/>
  <c r="AO374" i="13"/>
  <c r="AN374" i="13"/>
  <c r="AM374" i="13"/>
  <c r="AL374" i="13"/>
  <c r="AK374" i="13"/>
  <c r="AJ374" i="13"/>
  <c r="AI374" i="13"/>
  <c r="AH374" i="13"/>
  <c r="AG374" i="13"/>
  <c r="AF374" i="13"/>
  <c r="AE374" i="13"/>
  <c r="AD374" i="13"/>
  <c r="AC374" i="13"/>
  <c r="AB374" i="13"/>
  <c r="X374" i="13"/>
  <c r="W374" i="13"/>
  <c r="V374" i="13"/>
  <c r="U374" i="13"/>
  <c r="T374" i="13"/>
  <c r="S374" i="13"/>
  <c r="R374" i="13"/>
  <c r="Q374" i="13"/>
  <c r="P374" i="13"/>
  <c r="O374" i="13"/>
  <c r="N374" i="13"/>
  <c r="M374" i="13"/>
  <c r="L374" i="13"/>
  <c r="K374" i="13"/>
  <c r="J374" i="13"/>
  <c r="AA373" i="13"/>
  <c r="BT373" i="13" s="1"/>
  <c r="Z373" i="13"/>
  <c r="BS373" i="13" s="1"/>
  <c r="Y373" i="13"/>
  <c r="BR373" i="13" s="1"/>
  <c r="I373" i="13"/>
  <c r="I374" i="13" s="1"/>
  <c r="BT372" i="13"/>
  <c r="BR372" i="13"/>
  <c r="AA372" i="13"/>
  <c r="Z372" i="13"/>
  <c r="BS372" i="13" s="1"/>
  <c r="H372" i="13" s="1"/>
  <c r="Y372" i="13"/>
  <c r="I372" i="13"/>
  <c r="G372" i="13"/>
  <c r="BW371" i="13"/>
  <c r="BW383" i="13" s="1"/>
  <c r="BW386" i="13" s="1"/>
  <c r="BV371" i="13"/>
  <c r="BU371" i="13"/>
  <c r="BQ371" i="13"/>
  <c r="BP371" i="13"/>
  <c r="BN371" i="13"/>
  <c r="BM371" i="13"/>
  <c r="BL371" i="13"/>
  <c r="BK371" i="13"/>
  <c r="BJ371" i="13"/>
  <c r="BI371" i="13"/>
  <c r="BH371" i="13"/>
  <c r="BG371" i="13"/>
  <c r="BF371" i="13"/>
  <c r="BE371" i="13"/>
  <c r="BD371" i="13"/>
  <c r="BC371" i="13"/>
  <c r="BB371" i="13"/>
  <c r="BA371" i="13"/>
  <c r="AZ371" i="13"/>
  <c r="AY371" i="13"/>
  <c r="AX371" i="13"/>
  <c r="AW371" i="13"/>
  <c r="AV371" i="13"/>
  <c r="AU371" i="13"/>
  <c r="AT371" i="13"/>
  <c r="AS371" i="13"/>
  <c r="AR371" i="13"/>
  <c r="AQ371" i="13"/>
  <c r="AP371" i="13"/>
  <c r="AO371" i="13"/>
  <c r="AN371" i="13"/>
  <c r="AM371" i="13"/>
  <c r="AL371" i="13"/>
  <c r="AK371" i="13"/>
  <c r="AJ371" i="13"/>
  <c r="AI371" i="13"/>
  <c r="AH371" i="13"/>
  <c r="AG371" i="13"/>
  <c r="AF371" i="13"/>
  <c r="AE371" i="13"/>
  <c r="AD371" i="13"/>
  <c r="AC371" i="13"/>
  <c r="AB371" i="13"/>
  <c r="AA371" i="13"/>
  <c r="X371" i="13"/>
  <c r="W371" i="13"/>
  <c r="V371" i="13"/>
  <c r="U371" i="13"/>
  <c r="T371" i="13"/>
  <c r="S371" i="13"/>
  <c r="R371" i="13"/>
  <c r="Q371" i="13"/>
  <c r="P371" i="13"/>
  <c r="O371" i="13"/>
  <c r="N371" i="13"/>
  <c r="M371" i="13"/>
  <c r="L371" i="13"/>
  <c r="K371" i="13"/>
  <c r="J371" i="13"/>
  <c r="BT370" i="13"/>
  <c r="I370" i="13" s="1"/>
  <c r="BO370" i="13"/>
  <c r="AA370" i="13"/>
  <c r="Z370" i="13"/>
  <c r="BS370" i="13" s="1"/>
  <c r="H370" i="13" s="1"/>
  <c r="Y370" i="13"/>
  <c r="AA369" i="13"/>
  <c r="BT369" i="13" s="1"/>
  <c r="I369" i="13" s="1"/>
  <c r="Z369" i="13"/>
  <c r="Z371" i="13" s="1"/>
  <c r="Y369" i="13"/>
  <c r="BR369" i="13" s="1"/>
  <c r="G369" i="13" s="1"/>
  <c r="AA368" i="13"/>
  <c r="BT368" i="13" s="1"/>
  <c r="I368" i="13" s="1"/>
  <c r="Z368" i="13"/>
  <c r="BS368" i="13" s="1"/>
  <c r="H368" i="13" s="1"/>
  <c r="Y368" i="13"/>
  <c r="Y371" i="13" s="1"/>
  <c r="BT367" i="13"/>
  <c r="I367" i="13" s="1"/>
  <c r="BS367" i="13"/>
  <c r="BI367" i="13"/>
  <c r="AA367" i="13"/>
  <c r="Z367" i="13"/>
  <c r="Y367" i="13"/>
  <c r="BR367" i="13" s="1"/>
  <c r="G367" i="13" s="1"/>
  <c r="H367" i="13"/>
  <c r="BS366" i="13"/>
  <c r="BR366" i="13"/>
  <c r="AA366" i="13"/>
  <c r="BT366" i="13" s="1"/>
  <c r="Z366" i="13"/>
  <c r="Y366" i="13"/>
  <c r="BW365" i="13"/>
  <c r="BV365" i="13"/>
  <c r="BU365" i="13"/>
  <c r="BQ365" i="13"/>
  <c r="BP365" i="13"/>
  <c r="BN365" i="13"/>
  <c r="BM365" i="13"/>
  <c r="BK365" i="13"/>
  <c r="BJ365" i="13"/>
  <c r="BI365" i="13"/>
  <c r="BH365" i="13"/>
  <c r="BG365" i="13"/>
  <c r="BF365" i="13"/>
  <c r="BE365" i="13"/>
  <c r="BD365" i="13"/>
  <c r="BC365" i="13"/>
  <c r="BB365" i="13"/>
  <c r="BA365" i="13"/>
  <c r="AZ365" i="13"/>
  <c r="AY365" i="13"/>
  <c r="AX365" i="13"/>
  <c r="AW365" i="13"/>
  <c r="AV365" i="13"/>
  <c r="AU365" i="13"/>
  <c r="AT365" i="13"/>
  <c r="AS365" i="13"/>
  <c r="AR365" i="13"/>
  <c r="AP365" i="13"/>
  <c r="AO365" i="13"/>
  <c r="AN365" i="13"/>
  <c r="AM365" i="13"/>
  <c r="AL365" i="13"/>
  <c r="AK365" i="13"/>
  <c r="AJ365" i="13"/>
  <c r="AI365" i="13"/>
  <c r="AH365" i="13"/>
  <c r="AG365" i="13"/>
  <c r="AF365" i="13"/>
  <c r="AE365" i="13"/>
  <c r="AD365" i="13"/>
  <c r="AC365" i="13"/>
  <c r="AB365" i="13"/>
  <c r="X365" i="13"/>
  <c r="W365" i="13"/>
  <c r="V365" i="13"/>
  <c r="U365" i="13"/>
  <c r="T365" i="13"/>
  <c r="S365" i="13"/>
  <c r="R365" i="13"/>
  <c r="Q365" i="13"/>
  <c r="P365" i="13"/>
  <c r="O365" i="13"/>
  <c r="N365" i="13"/>
  <c r="L365" i="13"/>
  <c r="K365" i="13"/>
  <c r="J365" i="13"/>
  <c r="AA364" i="13"/>
  <c r="BT364" i="13" s="1"/>
  <c r="I364" i="13" s="1"/>
  <c r="Z364" i="13"/>
  <c r="BS364" i="13" s="1"/>
  <c r="Y364" i="13"/>
  <c r="BR364" i="13" s="1"/>
  <c r="G364" i="13" s="1"/>
  <c r="H364" i="13"/>
  <c r="BT363" i="13"/>
  <c r="I363" i="13" s="1"/>
  <c r="AA363" i="13"/>
  <c r="Z363" i="13"/>
  <c r="BS363" i="13" s="1"/>
  <c r="H363" i="13" s="1"/>
  <c r="Y363" i="13"/>
  <c r="BR363" i="13" s="1"/>
  <c r="G363" i="13" s="1"/>
  <c r="BT362" i="13"/>
  <c r="BS362" i="13"/>
  <c r="H362" i="13" s="1"/>
  <c r="BL362" i="13"/>
  <c r="BR362" i="13" s="1"/>
  <c r="BJ362" i="13"/>
  <c r="BF362" i="13"/>
  <c r="AT362" i="13"/>
  <c r="AQ362" i="13"/>
  <c r="AQ365" i="13" s="1"/>
  <c r="AA362" i="13"/>
  <c r="Z362" i="13"/>
  <c r="Y362" i="13"/>
  <c r="I362" i="13"/>
  <c r="G362" i="13"/>
  <c r="BT361" i="13"/>
  <c r="BS361" i="13"/>
  <c r="H361" i="13" s="1"/>
  <c r="BL361" i="13"/>
  <c r="BF361" i="13"/>
  <c r="AZ361" i="13"/>
  <c r="BR361" i="13" s="1"/>
  <c r="G361" i="13" s="1"/>
  <c r="AA361" i="13"/>
  <c r="Z361" i="13"/>
  <c r="Y361" i="13"/>
  <c r="I361" i="13"/>
  <c r="BT360" i="13"/>
  <c r="I360" i="13" s="1"/>
  <c r="BS360" i="13"/>
  <c r="H360" i="13" s="1"/>
  <c r="AA360" i="13"/>
  <c r="Z360" i="13"/>
  <c r="Y360" i="13"/>
  <c r="BR360" i="13" s="1"/>
  <c r="G360" i="13" s="1"/>
  <c r="BS359" i="13"/>
  <c r="H359" i="13" s="1"/>
  <c r="BR359" i="13"/>
  <c r="G359" i="13" s="1"/>
  <c r="BO359" i="13"/>
  <c r="BO365" i="13" s="1"/>
  <c r="AA359" i="13"/>
  <c r="BT359" i="13" s="1"/>
  <c r="I359" i="13" s="1"/>
  <c r="Z359" i="13"/>
  <c r="Y359" i="13"/>
  <c r="AA358" i="13"/>
  <c r="BT358" i="13" s="1"/>
  <c r="I358" i="13" s="1"/>
  <c r="Z358" i="13"/>
  <c r="M358" i="13"/>
  <c r="Y358" i="13" s="1"/>
  <c r="BR358" i="13" s="1"/>
  <c r="G358" i="13" s="1"/>
  <c r="AA357" i="13"/>
  <c r="BT357" i="13" s="1"/>
  <c r="I357" i="13" s="1"/>
  <c r="I365" i="13" s="1"/>
  <c r="Z357" i="13"/>
  <c r="BS357" i="13" s="1"/>
  <c r="H357" i="13" s="1"/>
  <c r="Y357" i="13"/>
  <c r="BR357" i="13" s="1"/>
  <c r="BW356" i="13"/>
  <c r="BV356" i="13"/>
  <c r="BU356" i="13"/>
  <c r="BQ356" i="13"/>
  <c r="BP356" i="13"/>
  <c r="BO356" i="13"/>
  <c r="BN356" i="13"/>
  <c r="BM356" i="13"/>
  <c r="BL356" i="13"/>
  <c r="BK356" i="13"/>
  <c r="BJ356" i="13"/>
  <c r="BI356" i="13"/>
  <c r="BH356" i="13"/>
  <c r="BG356" i="13"/>
  <c r="BF356" i="13"/>
  <c r="BE356" i="13"/>
  <c r="BD356" i="13"/>
  <c r="BC356" i="13"/>
  <c r="BB356" i="13"/>
  <c r="BA356" i="13"/>
  <c r="AZ356" i="13"/>
  <c r="AY356" i="13"/>
  <c r="AX356" i="13"/>
  <c r="AV356" i="13"/>
  <c r="AU356" i="13"/>
  <c r="AT356" i="13"/>
  <c r="AS356" i="13"/>
  <c r="AR356" i="13"/>
  <c r="AQ356" i="13"/>
  <c r="AP356" i="13"/>
  <c r="AO356" i="13"/>
  <c r="AN356" i="13"/>
  <c r="AM356" i="13"/>
  <c r="AL356" i="13"/>
  <c r="AK356" i="13"/>
  <c r="AJ356" i="13"/>
  <c r="AI356" i="13"/>
  <c r="AH356" i="13"/>
  <c r="AG356" i="13"/>
  <c r="AF356" i="13"/>
  <c r="AE356" i="13"/>
  <c r="AD356" i="13"/>
  <c r="AC356" i="13"/>
  <c r="AB356" i="13"/>
  <c r="X356" i="13"/>
  <c r="W356" i="13"/>
  <c r="V356" i="13"/>
  <c r="U356" i="13"/>
  <c r="T356" i="13"/>
  <c r="S356" i="13"/>
  <c r="R356" i="13"/>
  <c r="Q356" i="13"/>
  <c r="P356" i="13"/>
  <c r="O356" i="13"/>
  <c r="N356" i="13"/>
  <c r="M356" i="13"/>
  <c r="L356" i="13"/>
  <c r="K356" i="13"/>
  <c r="J356" i="13"/>
  <c r="BT355" i="13"/>
  <c r="BS355" i="13"/>
  <c r="BS356" i="13" s="1"/>
  <c r="BR355" i="13"/>
  <c r="BR356" i="13" s="1"/>
  <c r="AW355" i="13"/>
  <c r="AW356" i="13" s="1"/>
  <c r="AA355" i="13"/>
  <c r="AA356" i="13" s="1"/>
  <c r="Z355" i="13"/>
  <c r="Z356" i="13" s="1"/>
  <c r="Y355" i="13"/>
  <c r="Y356" i="13" s="1"/>
  <c r="BW354" i="13"/>
  <c r="BV354" i="13"/>
  <c r="BU354" i="13"/>
  <c r="BQ354" i="13"/>
  <c r="BP354" i="13"/>
  <c r="BO354" i="13"/>
  <c r="BI354" i="13"/>
  <c r="BG354" i="13"/>
  <c r="BE354" i="13"/>
  <c r="BD354" i="13"/>
  <c r="BB354" i="13"/>
  <c r="BA354" i="13"/>
  <c r="AZ354" i="13"/>
  <c r="AY354" i="13"/>
  <c r="AX354" i="13"/>
  <c r="AW354" i="13"/>
  <c r="AV354" i="13"/>
  <c r="AU354" i="13"/>
  <c r="AP354" i="13"/>
  <c r="AO354" i="13"/>
  <c r="AN354" i="13"/>
  <c r="AM354" i="13"/>
  <c r="AL354" i="13"/>
  <c r="AK354" i="13"/>
  <c r="AJ354" i="13"/>
  <c r="AI354" i="13"/>
  <c r="AH354" i="13"/>
  <c r="AF354" i="13"/>
  <c r="AE354" i="13"/>
  <c r="AD354" i="13"/>
  <c r="AC354" i="13"/>
  <c r="AB354" i="13"/>
  <c r="X354" i="13"/>
  <c r="W354" i="13"/>
  <c r="V354" i="13"/>
  <c r="U354" i="13"/>
  <c r="T354" i="13"/>
  <c r="S354" i="13"/>
  <c r="R354" i="13"/>
  <c r="Q354" i="13"/>
  <c r="P354" i="13"/>
  <c r="O354" i="13"/>
  <c r="N354" i="13"/>
  <c r="M354" i="13"/>
  <c r="L354" i="13"/>
  <c r="K354" i="13"/>
  <c r="J354" i="13"/>
  <c r="AA353" i="13"/>
  <c r="BT353" i="13" s="1"/>
  <c r="I353" i="13" s="1"/>
  <c r="Z353" i="13"/>
  <c r="BS353" i="13" s="1"/>
  <c r="H353" i="13" s="1"/>
  <c r="Y353" i="13"/>
  <c r="BR353" i="13" s="1"/>
  <c r="G353" i="13" s="1"/>
  <c r="BN352" i="13"/>
  <c r="BN354" i="13" s="1"/>
  <c r="BM352" i="13"/>
  <c r="BM354" i="13" s="1"/>
  <c r="BL352" i="13"/>
  <c r="BL354" i="13" s="1"/>
  <c r="BH352" i="13"/>
  <c r="BH354" i="13" s="1"/>
  <c r="BG352" i="13"/>
  <c r="AS352" i="13"/>
  <c r="AS354" i="13" s="1"/>
  <c r="AR352" i="13"/>
  <c r="AR354" i="13" s="1"/>
  <c r="AQ352" i="13"/>
  <c r="AQ354" i="13" s="1"/>
  <c r="AG352" i="13"/>
  <c r="AG354" i="13" s="1"/>
  <c r="AA352" i="13"/>
  <c r="Z352" i="13"/>
  <c r="Y352" i="13"/>
  <c r="BR351" i="13"/>
  <c r="BK351" i="13"/>
  <c r="BK354" i="13" s="1"/>
  <c r="BJ351" i="13"/>
  <c r="BJ354" i="13" s="1"/>
  <c r="BF351" i="13"/>
  <c r="BF354" i="13" s="1"/>
  <c r="BC351" i="13"/>
  <c r="BC354" i="13" s="1"/>
  <c r="AY351" i="13"/>
  <c r="AX351" i="13"/>
  <c r="AW351" i="13"/>
  <c r="AT351" i="13"/>
  <c r="AT354" i="13" s="1"/>
  <c r="AA351" i="13"/>
  <c r="AA354" i="13" s="1"/>
  <c r="Z351" i="13"/>
  <c r="Z354" i="13" s="1"/>
  <c r="Y351" i="13"/>
  <c r="BW350" i="13"/>
  <c r="BV350" i="13"/>
  <c r="BV383" i="13" s="1"/>
  <c r="BV386" i="13" s="1"/>
  <c r="BU350" i="13"/>
  <c r="BU383" i="13" s="1"/>
  <c r="BU386" i="13" s="1"/>
  <c r="BQ350" i="13"/>
  <c r="BP350" i="13"/>
  <c r="BO350" i="13"/>
  <c r="BN350" i="13"/>
  <c r="BM350" i="13"/>
  <c r="BL350" i="13"/>
  <c r="BK350" i="13"/>
  <c r="BJ350" i="13"/>
  <c r="BI350" i="13"/>
  <c r="BH350" i="13"/>
  <c r="BG350" i="13"/>
  <c r="BF350" i="13"/>
  <c r="BE350" i="13"/>
  <c r="BD350" i="13"/>
  <c r="BC350" i="13"/>
  <c r="BB350" i="13"/>
  <c r="BA350" i="13"/>
  <c r="AZ350" i="13"/>
  <c r="AY350" i="13"/>
  <c r="AX350" i="13"/>
  <c r="AW350" i="13"/>
  <c r="AV350" i="13"/>
  <c r="AU350" i="13"/>
  <c r="AT350" i="13"/>
  <c r="AS350" i="13"/>
  <c r="AR350" i="13"/>
  <c r="AQ350" i="13"/>
  <c r="AP350" i="13"/>
  <c r="AO350" i="13"/>
  <c r="AN350" i="13"/>
  <c r="AM350" i="13"/>
  <c r="AL350" i="13"/>
  <c r="AK350" i="13"/>
  <c r="AJ350" i="13"/>
  <c r="AI350" i="13"/>
  <c r="AH350" i="13"/>
  <c r="AG350" i="13"/>
  <c r="AF350" i="13"/>
  <c r="AE350" i="13"/>
  <c r="AD350" i="13"/>
  <c r="AC350" i="13"/>
  <c r="AB350" i="13"/>
  <c r="X350" i="13"/>
  <c r="W350" i="13"/>
  <c r="V350" i="13"/>
  <c r="U350" i="13"/>
  <c r="T350" i="13"/>
  <c r="S350" i="13"/>
  <c r="R350" i="13"/>
  <c r="Q350" i="13"/>
  <c r="P350" i="13"/>
  <c r="O350" i="13"/>
  <c r="N350" i="13"/>
  <c r="M350" i="13"/>
  <c r="L350" i="13"/>
  <c r="K350" i="13"/>
  <c r="J350" i="13"/>
  <c r="BT349" i="13"/>
  <c r="I349" i="13" s="1"/>
  <c r="BS349" i="13"/>
  <c r="H349" i="13" s="1"/>
  <c r="BR349" i="13"/>
  <c r="G349" i="13" s="1"/>
  <c r="AA349" i="13"/>
  <c r="Z349" i="13"/>
  <c r="Y349" i="13"/>
  <c r="BS348" i="13"/>
  <c r="H348" i="13" s="1"/>
  <c r="AA348" i="13"/>
  <c r="BT348" i="13" s="1"/>
  <c r="I348" i="13" s="1"/>
  <c r="Z348" i="13"/>
  <c r="Y348" i="13"/>
  <c r="BR348" i="13" s="1"/>
  <c r="G348" i="13" s="1"/>
  <c r="AA347" i="13"/>
  <c r="BT347" i="13" s="1"/>
  <c r="I347" i="13" s="1"/>
  <c r="Z347" i="13"/>
  <c r="BS347" i="13" s="1"/>
  <c r="H347" i="13" s="1"/>
  <c r="Y347" i="13"/>
  <c r="BR347" i="13" s="1"/>
  <c r="G347" i="13" s="1"/>
  <c r="BT346" i="13"/>
  <c r="BR346" i="13"/>
  <c r="AA346" i="13"/>
  <c r="Z346" i="13"/>
  <c r="BS346" i="13" s="1"/>
  <c r="H346" i="13" s="1"/>
  <c r="Y346" i="13"/>
  <c r="I346" i="13"/>
  <c r="G346" i="13"/>
  <c r="BT345" i="13"/>
  <c r="I345" i="13" s="1"/>
  <c r="BS345" i="13"/>
  <c r="H345" i="13" s="1"/>
  <c r="BR345" i="13"/>
  <c r="G345" i="13" s="1"/>
  <c r="AA345" i="13"/>
  <c r="Z345" i="13"/>
  <c r="Y345" i="13"/>
  <c r="BS344" i="13"/>
  <c r="H344" i="13" s="1"/>
  <c r="AA344" i="13"/>
  <c r="Z344" i="13"/>
  <c r="Z350" i="13" s="1"/>
  <c r="Y344" i="13"/>
  <c r="BW337" i="13"/>
  <c r="BV337" i="13"/>
  <c r="BU337" i="13"/>
  <c r="BQ337" i="13"/>
  <c r="BP337" i="13"/>
  <c r="BO337" i="13"/>
  <c r="BN337" i="13"/>
  <c r="BM337" i="13"/>
  <c r="BK337" i="13"/>
  <c r="BJ337" i="13"/>
  <c r="BI337" i="13"/>
  <c r="BH337" i="13"/>
  <c r="BG337" i="13"/>
  <c r="BF337" i="13"/>
  <c r="BE337" i="13"/>
  <c r="BD337" i="13"/>
  <c r="BC337" i="13"/>
  <c r="BB337" i="13"/>
  <c r="BA337" i="13"/>
  <c r="AZ337" i="13"/>
  <c r="AY337" i="13"/>
  <c r="AX337" i="13"/>
  <c r="AV337" i="13"/>
  <c r="AU337" i="13"/>
  <c r="AT337" i="13"/>
  <c r="AS337" i="13"/>
  <c r="AR337" i="13"/>
  <c r="AQ337" i="13"/>
  <c r="AP337" i="13"/>
  <c r="AO337" i="13"/>
  <c r="AN337" i="13"/>
  <c r="AM337" i="13"/>
  <c r="AL337" i="13"/>
  <c r="AK337" i="13"/>
  <c r="AJ337" i="13"/>
  <c r="AG337" i="13"/>
  <c r="AF337" i="13"/>
  <c r="AE337" i="13"/>
  <c r="AD337" i="13"/>
  <c r="AC337" i="13"/>
  <c r="AB337" i="13"/>
  <c r="X337" i="13"/>
  <c r="W337" i="13"/>
  <c r="V337" i="13"/>
  <c r="U337" i="13"/>
  <c r="T337" i="13"/>
  <c r="S337" i="13"/>
  <c r="R337" i="13"/>
  <c r="Q337" i="13"/>
  <c r="P337" i="13"/>
  <c r="O337" i="13"/>
  <c r="N337" i="13"/>
  <c r="M337" i="13"/>
  <c r="L337" i="13"/>
  <c r="K337" i="13"/>
  <c r="BT336" i="13"/>
  <c r="I336" i="13" s="1"/>
  <c r="BS336" i="13"/>
  <c r="H336" i="13" s="1"/>
  <c r="BR336" i="13"/>
  <c r="G336" i="13" s="1"/>
  <c r="AA336" i="13"/>
  <c r="Z336" i="13"/>
  <c r="Y336" i="13"/>
  <c r="AA335" i="13"/>
  <c r="BT335" i="13" s="1"/>
  <c r="I335" i="13" s="1"/>
  <c r="Z335" i="13"/>
  <c r="BS335" i="13" s="1"/>
  <c r="H335" i="13" s="1"/>
  <c r="Y335" i="13"/>
  <c r="BR335" i="13" s="1"/>
  <c r="G335" i="13" s="1"/>
  <c r="BL334" i="13"/>
  <c r="AA334" i="13"/>
  <c r="BT334" i="13" s="1"/>
  <c r="I334" i="13" s="1"/>
  <c r="Z334" i="13"/>
  <c r="BS334" i="13" s="1"/>
  <c r="Y334" i="13"/>
  <c r="H334" i="13"/>
  <c r="BS333" i="13"/>
  <c r="AA333" i="13"/>
  <c r="BT333" i="13" s="1"/>
  <c r="I333" i="13" s="1"/>
  <c r="Z333" i="13"/>
  <c r="J333" i="13"/>
  <c r="Y333" i="13" s="1"/>
  <c r="BR333" i="13" s="1"/>
  <c r="G333" i="13" s="1"/>
  <c r="H333" i="13"/>
  <c r="BT332" i="13"/>
  <c r="AA332" i="13"/>
  <c r="Z332" i="13"/>
  <c r="BS332" i="13" s="1"/>
  <c r="Y332" i="13"/>
  <c r="BR332" i="13" s="1"/>
  <c r="G332" i="13" s="1"/>
  <c r="BT331" i="13"/>
  <c r="I331" i="13" s="1"/>
  <c r="AA331" i="13"/>
  <c r="Z331" i="13"/>
  <c r="BS331" i="13" s="1"/>
  <c r="H331" i="13" s="1"/>
  <c r="Y331" i="13"/>
  <c r="BR331" i="13" s="1"/>
  <c r="G331" i="13" s="1"/>
  <c r="AA330" i="13"/>
  <c r="BT330" i="13" s="1"/>
  <c r="I330" i="13" s="1"/>
  <c r="Z330" i="13"/>
  <c r="BS330" i="13" s="1"/>
  <c r="Y330" i="13"/>
  <c r="BR330" i="13" s="1"/>
  <c r="H330" i="13"/>
  <c r="G330" i="13"/>
  <c r="BR329" i="13"/>
  <c r="AA329" i="13"/>
  <c r="BT329" i="13" s="1"/>
  <c r="I329" i="13" s="1"/>
  <c r="Z329" i="13"/>
  <c r="BS329" i="13" s="1"/>
  <c r="Y329" i="13"/>
  <c r="H329" i="13"/>
  <c r="G329" i="13"/>
  <c r="BT328" i="13"/>
  <c r="I328" i="13" s="1"/>
  <c r="BS328" i="13"/>
  <c r="H328" i="13" s="1"/>
  <c r="BR328" i="13"/>
  <c r="G328" i="13" s="1"/>
  <c r="AA328" i="13"/>
  <c r="Z328" i="13"/>
  <c r="Y328" i="13"/>
  <c r="BT327" i="13"/>
  <c r="I327" i="13" s="1"/>
  <c r="AW327" i="13"/>
  <c r="BR327" i="13" s="1"/>
  <c r="G327" i="13" s="1"/>
  <c r="AA327" i="13"/>
  <c r="Z327" i="13"/>
  <c r="BS327" i="13" s="1"/>
  <c r="H327" i="13" s="1"/>
  <c r="Y327" i="13"/>
  <c r="AA326" i="13"/>
  <c r="BT326" i="13" s="1"/>
  <c r="Z326" i="13"/>
  <c r="BS326" i="13" s="1"/>
  <c r="H326" i="13" s="1"/>
  <c r="Y326" i="13"/>
  <c r="BR326" i="13" s="1"/>
  <c r="G326" i="13" s="1"/>
  <c r="I326" i="13"/>
  <c r="BT325" i="13"/>
  <c r="AH325" i="13"/>
  <c r="AA325" i="13"/>
  <c r="Z325" i="13"/>
  <c r="BS325" i="13" s="1"/>
  <c r="H325" i="13" s="1"/>
  <c r="Y325" i="13"/>
  <c r="I325" i="13"/>
  <c r="BT324" i="13"/>
  <c r="I324" i="13" s="1"/>
  <c r="BS324" i="13"/>
  <c r="AW324" i="13"/>
  <c r="AN324" i="13"/>
  <c r="AA324" i="13"/>
  <c r="Z324" i="13"/>
  <c r="J324" i="13"/>
  <c r="Y324" i="13" s="1"/>
  <c r="BR324" i="13" s="1"/>
  <c r="G324" i="13" s="1"/>
  <c r="H324" i="13"/>
  <c r="BT323" i="13"/>
  <c r="I323" i="13" s="1"/>
  <c r="BS323" i="13"/>
  <c r="BR323" i="13"/>
  <c r="AA323" i="13"/>
  <c r="Z323" i="13"/>
  <c r="Y323" i="13"/>
  <c r="H323" i="13"/>
  <c r="G323" i="13"/>
  <c r="BT322" i="13"/>
  <c r="I322" i="13" s="1"/>
  <c r="BS322" i="13"/>
  <c r="H322" i="13" s="1"/>
  <c r="BR322" i="13"/>
  <c r="G322" i="13" s="1"/>
  <c r="AH322" i="13"/>
  <c r="AH337" i="13" s="1"/>
  <c r="AA322" i="13"/>
  <c r="Z322" i="13"/>
  <c r="Y322" i="13"/>
  <c r="J322" i="13"/>
  <c r="J337" i="13" s="1"/>
  <c r="BS321" i="13"/>
  <c r="H321" i="13" s="1"/>
  <c r="BR321" i="13"/>
  <c r="G321" i="13" s="1"/>
  <c r="AA321" i="13"/>
  <c r="BT321" i="13" s="1"/>
  <c r="I321" i="13" s="1"/>
  <c r="Z321" i="13"/>
  <c r="Y321" i="13"/>
  <c r="BR320" i="13"/>
  <c r="G320" i="13" s="1"/>
  <c r="AA320" i="13"/>
  <c r="BT320" i="13" s="1"/>
  <c r="Z320" i="13"/>
  <c r="BS320" i="13" s="1"/>
  <c r="Y320" i="13"/>
  <c r="I320" i="13"/>
  <c r="H320" i="13"/>
  <c r="BT319" i="13"/>
  <c r="BS319" i="13"/>
  <c r="AA319" i="13"/>
  <c r="Z319" i="13"/>
  <c r="Y319" i="13"/>
  <c r="BR319" i="13" s="1"/>
  <c r="G319" i="13" s="1"/>
  <c r="I319" i="13"/>
  <c r="H319" i="13"/>
  <c r="BT318" i="13"/>
  <c r="BS318" i="13"/>
  <c r="AW318" i="13"/>
  <c r="AN318" i="13"/>
  <c r="BR318" i="13" s="1"/>
  <c r="AA318" i="13"/>
  <c r="Z318" i="13"/>
  <c r="Y318" i="13"/>
  <c r="I318" i="13"/>
  <c r="H318" i="13"/>
  <c r="G318" i="13"/>
  <c r="BT317" i="13"/>
  <c r="I317" i="13" s="1"/>
  <c r="BS317" i="13"/>
  <c r="H317" i="13" s="1"/>
  <c r="BR317" i="13"/>
  <c r="G317" i="13" s="1"/>
  <c r="AA317" i="13"/>
  <c r="Z317" i="13"/>
  <c r="Y317" i="13"/>
  <c r="BT316" i="13"/>
  <c r="I316" i="13" s="1"/>
  <c r="BS316" i="13"/>
  <c r="H316" i="13" s="1"/>
  <c r="BL316" i="13"/>
  <c r="AW316" i="13"/>
  <c r="BR316" i="13" s="1"/>
  <c r="G316" i="13" s="1"/>
  <c r="AI316" i="13"/>
  <c r="AA316" i="13"/>
  <c r="Z316" i="13"/>
  <c r="Y316" i="13"/>
  <c r="BR315" i="13"/>
  <c r="G315" i="13" s="1"/>
  <c r="BL315" i="13"/>
  <c r="AI315" i="13"/>
  <c r="AA315" i="13"/>
  <c r="BT315" i="13" s="1"/>
  <c r="I315" i="13" s="1"/>
  <c r="Z315" i="13"/>
  <c r="Y315" i="13"/>
  <c r="BR314" i="13"/>
  <c r="BL314" i="13"/>
  <c r="BL337" i="13" s="1"/>
  <c r="AW314" i="13"/>
  <c r="AA314" i="13"/>
  <c r="Z314" i="13"/>
  <c r="Z337" i="13" s="1"/>
  <c r="Y314" i="13"/>
  <c r="BW313" i="13"/>
  <c r="BV313" i="13"/>
  <c r="BU313" i="13"/>
  <c r="BQ313" i="13"/>
  <c r="BP313" i="13"/>
  <c r="BO313" i="13"/>
  <c r="BN313" i="13"/>
  <c r="BM313" i="13"/>
  <c r="BL313" i="13"/>
  <c r="BK313" i="13"/>
  <c r="BJ313" i="13"/>
  <c r="BI313" i="13"/>
  <c r="BH313" i="13"/>
  <c r="BG313" i="13"/>
  <c r="BF313" i="13"/>
  <c r="BE313" i="13"/>
  <c r="BD313" i="13"/>
  <c r="BC313" i="13"/>
  <c r="BB313" i="13"/>
  <c r="BA313" i="13"/>
  <c r="AZ313" i="13"/>
  <c r="AY313" i="13"/>
  <c r="AX313" i="13"/>
  <c r="AV313" i="13"/>
  <c r="AU313" i="13"/>
  <c r="AT313" i="13"/>
  <c r="AS313" i="13"/>
  <c r="AR313" i="13"/>
  <c r="AQ313" i="13"/>
  <c r="AP313" i="13"/>
  <c r="AO313" i="13"/>
  <c r="AM313" i="13"/>
  <c r="AL313" i="13"/>
  <c r="AK313" i="13"/>
  <c r="AJ313" i="13"/>
  <c r="AI313" i="13"/>
  <c r="AH313" i="13"/>
  <c r="AG313" i="13"/>
  <c r="AF313" i="13"/>
  <c r="AE313" i="13"/>
  <c r="AD313" i="13"/>
  <c r="AC313" i="13"/>
  <c r="AB313" i="13"/>
  <c r="X313" i="13"/>
  <c r="W313" i="13"/>
  <c r="V313" i="13"/>
  <c r="U313" i="13"/>
  <c r="T313" i="13"/>
  <c r="S313" i="13"/>
  <c r="R313" i="13"/>
  <c r="Q313" i="13"/>
  <c r="P313" i="13"/>
  <c r="O313" i="13"/>
  <c r="N313" i="13"/>
  <c r="M313" i="13"/>
  <c r="L313" i="13"/>
  <c r="K313" i="13"/>
  <c r="J313" i="13"/>
  <c r="BR312" i="13"/>
  <c r="AA312" i="13"/>
  <c r="BT312" i="13" s="1"/>
  <c r="I312" i="13" s="1"/>
  <c r="Z312" i="13"/>
  <c r="BS312" i="13" s="1"/>
  <c r="H312" i="13" s="1"/>
  <c r="Y312" i="13"/>
  <c r="G312" i="13"/>
  <c r="BT311" i="13"/>
  <c r="I311" i="13" s="1"/>
  <c r="BS311" i="13"/>
  <c r="H311" i="13" s="1"/>
  <c r="BR311" i="13"/>
  <c r="G311" i="13" s="1"/>
  <c r="AA311" i="13"/>
  <c r="Z311" i="13"/>
  <c r="Y311" i="13"/>
  <c r="BT310" i="13"/>
  <c r="I310" i="13" s="1"/>
  <c r="AW310" i="13"/>
  <c r="BR310" i="13" s="1"/>
  <c r="G310" i="13" s="1"/>
  <c r="AA310" i="13"/>
  <c r="Z310" i="13"/>
  <c r="BS310" i="13" s="1"/>
  <c r="H310" i="13" s="1"/>
  <c r="Y310" i="13"/>
  <c r="BR309" i="13"/>
  <c r="G309" i="13" s="1"/>
  <c r="AN309" i="13"/>
  <c r="AN313" i="13" s="1"/>
  <c r="AA309" i="13"/>
  <c r="BT309" i="13" s="1"/>
  <c r="I309" i="13" s="1"/>
  <c r="Z309" i="13"/>
  <c r="BS309" i="13" s="1"/>
  <c r="H309" i="13" s="1"/>
  <c r="Y309" i="13"/>
  <c r="BT308" i="13"/>
  <c r="BR308" i="13"/>
  <c r="AA308" i="13"/>
  <c r="Z308" i="13"/>
  <c r="BS308" i="13" s="1"/>
  <c r="H308" i="13" s="1"/>
  <c r="Y308" i="13"/>
  <c r="I308" i="13"/>
  <c r="G308" i="13"/>
  <c r="BT307" i="13"/>
  <c r="I307" i="13" s="1"/>
  <c r="AA307" i="13"/>
  <c r="Z307" i="13"/>
  <c r="BS307" i="13" s="1"/>
  <c r="Y307" i="13"/>
  <c r="BR307" i="13" s="1"/>
  <c r="G307" i="13" s="1"/>
  <c r="H307" i="13"/>
  <c r="BS306" i="13"/>
  <c r="H306" i="13" s="1"/>
  <c r="BR306" i="13"/>
  <c r="G306" i="13" s="1"/>
  <c r="AA306" i="13"/>
  <c r="BT306" i="13" s="1"/>
  <c r="I306" i="13" s="1"/>
  <c r="Z306" i="13"/>
  <c r="Y306" i="13"/>
  <c r="BS305" i="13"/>
  <c r="H305" i="13" s="1"/>
  <c r="AA305" i="13"/>
  <c r="BT305" i="13" s="1"/>
  <c r="I305" i="13" s="1"/>
  <c r="Z305" i="13"/>
  <c r="Y305" i="13"/>
  <c r="BR305" i="13" s="1"/>
  <c r="G305" i="13" s="1"/>
  <c r="BS304" i="13"/>
  <c r="AW304" i="13"/>
  <c r="AA304" i="13"/>
  <c r="BT304" i="13" s="1"/>
  <c r="I304" i="13" s="1"/>
  <c r="Z304" i="13"/>
  <c r="Y304" i="13"/>
  <c r="BR304" i="13" s="1"/>
  <c r="G304" i="13" s="1"/>
  <c r="H304" i="13"/>
  <c r="BR303" i="13"/>
  <c r="AA303" i="13"/>
  <c r="BT303" i="13" s="1"/>
  <c r="I303" i="13" s="1"/>
  <c r="Z303" i="13"/>
  <c r="BS303" i="13" s="1"/>
  <c r="H303" i="13" s="1"/>
  <c r="Y303" i="13"/>
  <c r="G303" i="13"/>
  <c r="BT302" i="13"/>
  <c r="I302" i="13" s="1"/>
  <c r="BS302" i="13"/>
  <c r="H302" i="13" s="1"/>
  <c r="BR302" i="13"/>
  <c r="G302" i="13" s="1"/>
  <c r="AA302" i="13"/>
  <c r="Z302" i="13"/>
  <c r="Y302" i="13"/>
  <c r="BT301" i="13"/>
  <c r="I301" i="13" s="1"/>
  <c r="AW301" i="13"/>
  <c r="AW313" i="13" s="1"/>
  <c r="AA301" i="13"/>
  <c r="Z301" i="13"/>
  <c r="BS301" i="13" s="1"/>
  <c r="H301" i="13" s="1"/>
  <c r="Y301" i="13"/>
  <c r="BT300" i="13"/>
  <c r="BR300" i="13"/>
  <c r="G300" i="13" s="1"/>
  <c r="AA300" i="13"/>
  <c r="Z300" i="13"/>
  <c r="BS300" i="13" s="1"/>
  <c r="Y300" i="13"/>
  <c r="I300" i="13"/>
  <c r="BS299" i="13"/>
  <c r="AA299" i="13"/>
  <c r="Z299" i="13"/>
  <c r="Y299" i="13"/>
  <c r="H299" i="13"/>
  <c r="BW298" i="13"/>
  <c r="BM298" i="13"/>
  <c r="BM343" i="13" s="1"/>
  <c r="BK298" i="13"/>
  <c r="BK343" i="13" s="1"/>
  <c r="BF298" i="13"/>
  <c r="BF343" i="13" s="1"/>
  <c r="BA298" i="13"/>
  <c r="BA343" i="13" s="1"/>
  <c r="AY298" i="13"/>
  <c r="AY343" i="13" s="1"/>
  <c r="AT298" i="13"/>
  <c r="AT343" i="13" s="1"/>
  <c r="AO298" i="13"/>
  <c r="AO343" i="13" s="1"/>
  <c r="AM298" i="13"/>
  <c r="AM343" i="13" s="1"/>
  <c r="AH298" i="13"/>
  <c r="AH343" i="13" s="1"/>
  <c r="AC298" i="13"/>
  <c r="AC343" i="13" s="1"/>
  <c r="V298" i="13"/>
  <c r="V343" i="13" s="1"/>
  <c r="Q298" i="13"/>
  <c r="Q343" i="13" s="1"/>
  <c r="O298" i="13"/>
  <c r="O343" i="13" s="1"/>
  <c r="J298" i="13"/>
  <c r="J343" i="13" s="1"/>
  <c r="BW297" i="13"/>
  <c r="BV297" i="13"/>
  <c r="BU297" i="13"/>
  <c r="BQ297" i="13"/>
  <c r="BP297" i="13"/>
  <c r="BO297" i="13"/>
  <c r="BN297" i="13"/>
  <c r="BM297" i="13"/>
  <c r="BL297" i="13"/>
  <c r="BL298" i="13" s="1"/>
  <c r="BL343" i="13" s="1"/>
  <c r="BK297" i="13"/>
  <c r="BJ297" i="13"/>
  <c r="BI297" i="13"/>
  <c r="BH297" i="13"/>
  <c r="BH298" i="13" s="1"/>
  <c r="BH343" i="13" s="1"/>
  <c r="BG297" i="13"/>
  <c r="BF297" i="13"/>
  <c r="BE297" i="13"/>
  <c r="BD297" i="13"/>
  <c r="BC297" i="13"/>
  <c r="BB297" i="13"/>
  <c r="BA297" i="13"/>
  <c r="AZ297" i="13"/>
  <c r="AZ298" i="13" s="1"/>
  <c r="AZ343" i="13" s="1"/>
  <c r="AY297" i="13"/>
  <c r="AX297" i="13"/>
  <c r="AV297" i="13"/>
  <c r="AV298" i="13" s="1"/>
  <c r="AV343" i="13" s="1"/>
  <c r="AU297" i="13"/>
  <c r="AT297" i="13"/>
  <c r="AS297" i="13"/>
  <c r="AR297" i="13"/>
  <c r="AQ297" i="13"/>
  <c r="AP297" i="13"/>
  <c r="AO297" i="13"/>
  <c r="AN297" i="13"/>
  <c r="AN298" i="13" s="1"/>
  <c r="AN343" i="13" s="1"/>
  <c r="AM297" i="13"/>
  <c r="AL297" i="13"/>
  <c r="AK297" i="13"/>
  <c r="AJ297" i="13"/>
  <c r="AJ298" i="13" s="1"/>
  <c r="AJ343" i="13" s="1"/>
  <c r="AI297" i="13"/>
  <c r="AH297" i="13"/>
  <c r="AG297" i="13"/>
  <c r="AF297" i="13"/>
  <c r="AE297" i="13"/>
  <c r="AD297" i="13"/>
  <c r="AC297" i="13"/>
  <c r="AB297" i="13"/>
  <c r="AB298" i="13" s="1"/>
  <c r="AB343" i="13" s="1"/>
  <c r="X297" i="13"/>
  <c r="X298" i="13" s="1"/>
  <c r="X343" i="13" s="1"/>
  <c r="W297" i="13"/>
  <c r="V297" i="13"/>
  <c r="U297" i="13"/>
  <c r="T297" i="13"/>
  <c r="S297" i="13"/>
  <c r="R297" i="13"/>
  <c r="Q297" i="13"/>
  <c r="P297" i="13"/>
  <c r="P298" i="13" s="1"/>
  <c r="P343" i="13" s="1"/>
  <c r="O297" i="13"/>
  <c r="N297" i="13"/>
  <c r="M297" i="13"/>
  <c r="L297" i="13"/>
  <c r="L298" i="13" s="1"/>
  <c r="L343" i="13" s="1"/>
  <c r="K297" i="13"/>
  <c r="J297" i="13"/>
  <c r="BT296" i="13"/>
  <c r="BR296" i="13"/>
  <c r="G296" i="13" s="1"/>
  <c r="AA296" i="13"/>
  <c r="Z296" i="13"/>
  <c r="BS296" i="13" s="1"/>
  <c r="H296" i="13" s="1"/>
  <c r="Y296" i="13"/>
  <c r="I296" i="13"/>
  <c r="BS295" i="13"/>
  <c r="AA295" i="13"/>
  <c r="BT295" i="13" s="1"/>
  <c r="I295" i="13" s="1"/>
  <c r="Z295" i="13"/>
  <c r="Y295" i="13"/>
  <c r="BR295" i="13" s="1"/>
  <c r="G295" i="13" s="1"/>
  <c r="H295" i="13"/>
  <c r="BT294" i="13"/>
  <c r="I294" i="13" s="1"/>
  <c r="AW294" i="13"/>
  <c r="BR294" i="13" s="1"/>
  <c r="G294" i="13" s="1"/>
  <c r="AA294" i="13"/>
  <c r="Z294" i="13"/>
  <c r="BS294" i="13" s="1"/>
  <c r="H294" i="13" s="1"/>
  <c r="Y294" i="13"/>
  <c r="BT293" i="13"/>
  <c r="BS293" i="13"/>
  <c r="H293" i="13" s="1"/>
  <c r="BR293" i="13"/>
  <c r="G293" i="13" s="1"/>
  <c r="AN293" i="13"/>
  <c r="AA293" i="13"/>
  <c r="Z293" i="13"/>
  <c r="Y293" i="13"/>
  <c r="I293" i="13"/>
  <c r="AA292" i="13"/>
  <c r="BT292" i="13" s="1"/>
  <c r="I292" i="13" s="1"/>
  <c r="Z292" i="13"/>
  <c r="BS292" i="13" s="1"/>
  <c r="H292" i="13" s="1"/>
  <c r="Y292" i="13"/>
  <c r="BR292" i="13" s="1"/>
  <c r="G292" i="13" s="1"/>
  <c r="BS291" i="13"/>
  <c r="AA291" i="13"/>
  <c r="BT291" i="13" s="1"/>
  <c r="I291" i="13" s="1"/>
  <c r="Z291" i="13"/>
  <c r="Y291" i="13"/>
  <c r="BR291" i="13" s="1"/>
  <c r="G291" i="13" s="1"/>
  <c r="H291" i="13"/>
  <c r="BR290" i="13"/>
  <c r="AA290" i="13"/>
  <c r="BT290" i="13" s="1"/>
  <c r="I290" i="13" s="1"/>
  <c r="Z290" i="13"/>
  <c r="BS290" i="13" s="1"/>
  <c r="H290" i="13" s="1"/>
  <c r="Y290" i="13"/>
  <c r="G290" i="13"/>
  <c r="BT289" i="13"/>
  <c r="I289" i="13" s="1"/>
  <c r="BS289" i="13"/>
  <c r="H289" i="13" s="1"/>
  <c r="BR289" i="13"/>
  <c r="G289" i="13" s="1"/>
  <c r="AA289" i="13"/>
  <c r="Z289" i="13"/>
  <c r="Y289" i="13"/>
  <c r="BT288" i="13"/>
  <c r="I288" i="13" s="1"/>
  <c r="AW288" i="13"/>
  <c r="AA288" i="13"/>
  <c r="Z288" i="13"/>
  <c r="BS288" i="13" s="1"/>
  <c r="H288" i="13" s="1"/>
  <c r="Y288" i="13"/>
  <c r="AX287" i="13"/>
  <c r="BS287" i="13" s="1"/>
  <c r="H287" i="13" s="1"/>
  <c r="AA287" i="13"/>
  <c r="BT287" i="13" s="1"/>
  <c r="I287" i="13" s="1"/>
  <c r="Z287" i="13"/>
  <c r="Y287" i="13"/>
  <c r="BR287" i="13" s="1"/>
  <c r="G287" i="13" s="1"/>
  <c r="BT286" i="13"/>
  <c r="BS286" i="13"/>
  <c r="BR286" i="13"/>
  <c r="AA286" i="13"/>
  <c r="Z286" i="13"/>
  <c r="Y286" i="13"/>
  <c r="I286" i="13"/>
  <c r="H286" i="13"/>
  <c r="G286" i="13"/>
  <c r="BT285" i="13"/>
  <c r="I285" i="13" s="1"/>
  <c r="AA285" i="13"/>
  <c r="Z285" i="13"/>
  <c r="BS285" i="13" s="1"/>
  <c r="Y285" i="13"/>
  <c r="BR285" i="13" s="1"/>
  <c r="G285" i="13" s="1"/>
  <c r="H285" i="13"/>
  <c r="BS284" i="13"/>
  <c r="BR284" i="13"/>
  <c r="G284" i="13" s="1"/>
  <c r="AA284" i="13"/>
  <c r="BT284" i="13" s="1"/>
  <c r="I284" i="13" s="1"/>
  <c r="Z284" i="13"/>
  <c r="Y284" i="13"/>
  <c r="H284" i="13"/>
  <c r="AA283" i="13"/>
  <c r="Z283" i="13"/>
  <c r="Y283" i="13"/>
  <c r="BW282" i="13"/>
  <c r="BV282" i="13"/>
  <c r="BV298" i="13" s="1"/>
  <c r="BU282" i="13"/>
  <c r="BU298" i="13" s="1"/>
  <c r="BQ282" i="13"/>
  <c r="BQ298" i="13" s="1"/>
  <c r="BQ343" i="13" s="1"/>
  <c r="BP282" i="13"/>
  <c r="BP298" i="13" s="1"/>
  <c r="BP343" i="13" s="1"/>
  <c r="BO282" i="13"/>
  <c r="BO298" i="13" s="1"/>
  <c r="BO343" i="13" s="1"/>
  <c r="BN282" i="13"/>
  <c r="BN298" i="13" s="1"/>
  <c r="BN343" i="13" s="1"/>
  <c r="BM282" i="13"/>
  <c r="BL282" i="13"/>
  <c r="BK282" i="13"/>
  <c r="BJ282" i="13"/>
  <c r="BJ298" i="13" s="1"/>
  <c r="BJ343" i="13" s="1"/>
  <c r="BI282" i="13"/>
  <c r="BI298" i="13" s="1"/>
  <c r="BI343" i="13" s="1"/>
  <c r="BH282" i="13"/>
  <c r="BG282" i="13"/>
  <c r="BG298" i="13" s="1"/>
  <c r="BG343" i="13" s="1"/>
  <c r="BF282" i="13"/>
  <c r="BE282" i="13"/>
  <c r="BE298" i="13" s="1"/>
  <c r="BE343" i="13" s="1"/>
  <c r="BD282" i="13"/>
  <c r="BD298" i="13" s="1"/>
  <c r="BD343" i="13" s="1"/>
  <c r="BC282" i="13"/>
  <c r="BC298" i="13" s="1"/>
  <c r="BC343" i="13" s="1"/>
  <c r="BB282" i="13"/>
  <c r="BB298" i="13" s="1"/>
  <c r="BB343" i="13" s="1"/>
  <c r="BA282" i="13"/>
  <c r="AZ282" i="13"/>
  <c r="AY282" i="13"/>
  <c r="AX282" i="13"/>
  <c r="AX298" i="13" s="1"/>
  <c r="AX343" i="13" s="1"/>
  <c r="AW282" i="13"/>
  <c r="AV282" i="13"/>
  <c r="AU282" i="13"/>
  <c r="AU298" i="13" s="1"/>
  <c r="AU343" i="13" s="1"/>
  <c r="AT282" i="13"/>
  <c r="AS282" i="13"/>
  <c r="AS298" i="13" s="1"/>
  <c r="AS343" i="13" s="1"/>
  <c r="AR282" i="13"/>
  <c r="AR298" i="13" s="1"/>
  <c r="AR343" i="13" s="1"/>
  <c r="AQ282" i="13"/>
  <c r="AQ298" i="13" s="1"/>
  <c r="AQ343" i="13" s="1"/>
  <c r="AP282" i="13"/>
  <c r="AP298" i="13" s="1"/>
  <c r="AP343" i="13" s="1"/>
  <c r="AO282" i="13"/>
  <c r="AN282" i="13"/>
  <c r="AM282" i="13"/>
  <c r="AL282" i="13"/>
  <c r="AL298" i="13" s="1"/>
  <c r="AL343" i="13" s="1"/>
  <c r="AK282" i="13"/>
  <c r="AK298" i="13" s="1"/>
  <c r="AK343" i="13" s="1"/>
  <c r="AJ282" i="13"/>
  <c r="AI282" i="13"/>
  <c r="AI298" i="13" s="1"/>
  <c r="AI343" i="13" s="1"/>
  <c r="AH282" i="13"/>
  <c r="AG282" i="13"/>
  <c r="AG298" i="13" s="1"/>
  <c r="AG343" i="13" s="1"/>
  <c r="AF282" i="13"/>
  <c r="AF298" i="13" s="1"/>
  <c r="AF343" i="13" s="1"/>
  <c r="AE282" i="13"/>
  <c r="AE298" i="13" s="1"/>
  <c r="AE343" i="13" s="1"/>
  <c r="AD282" i="13"/>
  <c r="AD298" i="13" s="1"/>
  <c r="AD343" i="13" s="1"/>
  <c r="AC282" i="13"/>
  <c r="AB282" i="13"/>
  <c r="X282" i="13"/>
  <c r="W282" i="13"/>
  <c r="W298" i="13" s="1"/>
  <c r="W343" i="13" s="1"/>
  <c r="V282" i="13"/>
  <c r="U282" i="13"/>
  <c r="U298" i="13" s="1"/>
  <c r="U343" i="13" s="1"/>
  <c r="T282" i="13"/>
  <c r="T298" i="13" s="1"/>
  <c r="T343" i="13" s="1"/>
  <c r="S282" i="13"/>
  <c r="S298" i="13" s="1"/>
  <c r="S343" i="13" s="1"/>
  <c r="R282" i="13"/>
  <c r="R298" i="13" s="1"/>
  <c r="R343" i="13" s="1"/>
  <c r="Q282" i="13"/>
  <c r="P282" i="13"/>
  <c r="O282" i="13"/>
  <c r="N282" i="13"/>
  <c r="N298" i="13" s="1"/>
  <c r="N343" i="13" s="1"/>
  <c r="M282" i="13"/>
  <c r="M298" i="13" s="1"/>
  <c r="M343" i="13" s="1"/>
  <c r="L282" i="13"/>
  <c r="K282" i="13"/>
  <c r="K298" i="13" s="1"/>
  <c r="K343" i="13" s="1"/>
  <c r="Z343" i="13" s="1"/>
  <c r="J282" i="13"/>
  <c r="BT281" i="13"/>
  <c r="I281" i="13" s="1"/>
  <c r="AA281" i="13"/>
  <c r="Z281" i="13"/>
  <c r="BS281" i="13" s="1"/>
  <c r="Y281" i="13"/>
  <c r="BR281" i="13" s="1"/>
  <c r="G281" i="13" s="1"/>
  <c r="H281" i="13"/>
  <c r="BT280" i="13"/>
  <c r="I280" i="13" s="1"/>
  <c r="BS280" i="13"/>
  <c r="BR280" i="13"/>
  <c r="G280" i="13" s="1"/>
  <c r="AA280" i="13"/>
  <c r="Z280" i="13"/>
  <c r="Y280" i="13"/>
  <c r="H280" i="13"/>
  <c r="AA279" i="13"/>
  <c r="BT279" i="13" s="1"/>
  <c r="I279" i="13" s="1"/>
  <c r="Z279" i="13"/>
  <c r="BS279" i="13" s="1"/>
  <c r="H279" i="13" s="1"/>
  <c r="Y279" i="13"/>
  <c r="BR279" i="13" s="1"/>
  <c r="G279" i="13" s="1"/>
  <c r="BT278" i="13"/>
  <c r="BS278" i="13"/>
  <c r="H278" i="13" s="1"/>
  <c r="BR278" i="13"/>
  <c r="AA278" i="13"/>
  <c r="Z278" i="13"/>
  <c r="Y278" i="13"/>
  <c r="I278" i="13"/>
  <c r="G278" i="13"/>
  <c r="BT277" i="13"/>
  <c r="AA277" i="13"/>
  <c r="Z277" i="13"/>
  <c r="BS277" i="13" s="1"/>
  <c r="BS282" i="13" s="1"/>
  <c r="Y277" i="13"/>
  <c r="BR277" i="13" s="1"/>
  <c r="H277" i="13"/>
  <c r="H282" i="13" s="1"/>
  <c r="BW276" i="13"/>
  <c r="BV276" i="13"/>
  <c r="BU276" i="13"/>
  <c r="BQ276" i="13"/>
  <c r="BP276" i="13"/>
  <c r="BO276" i="13"/>
  <c r="BN276" i="13"/>
  <c r="BM276" i="13"/>
  <c r="BL276" i="13"/>
  <c r="BK276" i="13"/>
  <c r="BJ276" i="13"/>
  <c r="BI276" i="13"/>
  <c r="BH276" i="13"/>
  <c r="BG276" i="13"/>
  <c r="BF276" i="13"/>
  <c r="BE276" i="13"/>
  <c r="BD276" i="13"/>
  <c r="BC276" i="13"/>
  <c r="BB276" i="13"/>
  <c r="BA276" i="13"/>
  <c r="AZ276" i="13"/>
  <c r="AY276" i="13"/>
  <c r="AX276" i="13"/>
  <c r="AW276" i="13"/>
  <c r="AV276" i="13"/>
  <c r="AU276" i="13"/>
  <c r="AT276" i="13"/>
  <c r="AS276" i="13"/>
  <c r="AR276" i="13"/>
  <c r="AQ276" i="13"/>
  <c r="AP276" i="13"/>
  <c r="AO276" i="13"/>
  <c r="AN276" i="13"/>
  <c r="AM276" i="13"/>
  <c r="AL276" i="13"/>
  <c r="AK276" i="13"/>
  <c r="AJ276" i="13"/>
  <c r="AI276" i="13"/>
  <c r="AH276" i="13"/>
  <c r="AG276" i="13"/>
  <c r="AF276" i="13"/>
  <c r="AE276" i="13"/>
  <c r="AD276" i="13"/>
  <c r="AC276" i="13"/>
  <c r="AB276" i="13"/>
  <c r="Z276" i="13"/>
  <c r="Y276" i="13"/>
  <c r="X276" i="13"/>
  <c r="W276" i="13"/>
  <c r="V276" i="13"/>
  <c r="U276" i="13"/>
  <c r="T276" i="13"/>
  <c r="S276" i="13"/>
  <c r="R276" i="13"/>
  <c r="Q276" i="13"/>
  <c r="P276" i="13"/>
  <c r="O276" i="13"/>
  <c r="N276" i="13"/>
  <c r="M276" i="13"/>
  <c r="L276" i="13"/>
  <c r="K276" i="13"/>
  <c r="J276" i="13"/>
  <c r="AA275" i="13"/>
  <c r="BT275" i="13" s="1"/>
  <c r="I275" i="13" s="1"/>
  <c r="Z275" i="13"/>
  <c r="BS275" i="13" s="1"/>
  <c r="H275" i="13" s="1"/>
  <c r="Y275" i="13"/>
  <c r="BR275" i="13" s="1"/>
  <c r="G275" i="13" s="1"/>
  <c r="BT274" i="13"/>
  <c r="BS274" i="13"/>
  <c r="BR274" i="13"/>
  <c r="BR276" i="13" s="1"/>
  <c r="AA274" i="13"/>
  <c r="Z274" i="13"/>
  <c r="Y274" i="13"/>
  <c r="I274" i="13"/>
  <c r="G274" i="13"/>
  <c r="G276" i="13" s="1"/>
  <c r="BN273" i="13"/>
  <c r="BF273" i="13"/>
  <c r="BA273" i="13"/>
  <c r="AZ273" i="13"/>
  <c r="AY273" i="13"/>
  <c r="AT273" i="13"/>
  <c r="AR273" i="13"/>
  <c r="AM273" i="13"/>
  <c r="AC273" i="13"/>
  <c r="Q273" i="13"/>
  <c r="P273" i="13"/>
  <c r="BW272" i="13"/>
  <c r="BV272" i="13"/>
  <c r="BU272" i="13"/>
  <c r="BQ272" i="13"/>
  <c r="BP272" i="13"/>
  <c r="BO272" i="13"/>
  <c r="BO273" i="13" s="1"/>
  <c r="BN272" i="13"/>
  <c r="BM272" i="13"/>
  <c r="BL272" i="13"/>
  <c r="BK272" i="13"/>
  <c r="BK273" i="13" s="1"/>
  <c r="BJ272" i="13"/>
  <c r="BH272" i="13"/>
  <c r="BG272" i="13"/>
  <c r="BE272" i="13"/>
  <c r="BD272" i="13"/>
  <c r="BD273" i="13" s="1"/>
  <c r="BC272" i="13"/>
  <c r="BC273" i="13" s="1"/>
  <c r="BB272" i="13"/>
  <c r="BA272" i="13"/>
  <c r="AZ272" i="13"/>
  <c r="AY272" i="13"/>
  <c r="AX272" i="13"/>
  <c r="AW272" i="13"/>
  <c r="AV272" i="13"/>
  <c r="AU272" i="13"/>
  <c r="AT272" i="13"/>
  <c r="AS272" i="13"/>
  <c r="AR272" i="13"/>
  <c r="AQ272" i="13"/>
  <c r="AQ273" i="13" s="1"/>
  <c r="AO272" i="13"/>
  <c r="AO273" i="13" s="1"/>
  <c r="AM272" i="13"/>
  <c r="AL272" i="13"/>
  <c r="AK272" i="13"/>
  <c r="AJ272" i="13"/>
  <c r="AI272" i="13"/>
  <c r="AH272" i="13"/>
  <c r="AG272" i="13"/>
  <c r="AF272" i="13"/>
  <c r="AF273" i="13" s="1"/>
  <c r="AD272" i="13"/>
  <c r="AC272" i="13"/>
  <c r="AA272" i="13"/>
  <c r="X272" i="13"/>
  <c r="W272" i="13"/>
  <c r="V272" i="13"/>
  <c r="U272" i="13"/>
  <c r="T272" i="13"/>
  <c r="R272" i="13"/>
  <c r="Q272" i="13"/>
  <c r="P272" i="13"/>
  <c r="O272" i="13"/>
  <c r="N272" i="13"/>
  <c r="M272" i="13"/>
  <c r="L272" i="13"/>
  <c r="K272" i="13"/>
  <c r="J272" i="13"/>
  <c r="BS271" i="13"/>
  <c r="H271" i="13" s="1"/>
  <c r="BO271" i="13"/>
  <c r="AA271" i="13"/>
  <c r="BT271" i="13" s="1"/>
  <c r="I271" i="13" s="1"/>
  <c r="Z271" i="13"/>
  <c r="Y271" i="13"/>
  <c r="AP270" i="13"/>
  <c r="BT270" i="13" s="1"/>
  <c r="I270" i="13" s="1"/>
  <c r="AO270" i="13"/>
  <c r="AN270" i="13"/>
  <c r="AA270" i="13"/>
  <c r="Z270" i="13"/>
  <c r="BS270" i="13" s="1"/>
  <c r="H270" i="13" s="1"/>
  <c r="Y270" i="13"/>
  <c r="T270" i="13"/>
  <c r="S270" i="13"/>
  <c r="AN269" i="13"/>
  <c r="BR269" i="13" s="1"/>
  <c r="G269" i="13" s="1"/>
  <c r="AA269" i="13"/>
  <c r="BT269" i="13" s="1"/>
  <c r="I269" i="13" s="1"/>
  <c r="Z269" i="13"/>
  <c r="BS269" i="13" s="1"/>
  <c r="H269" i="13" s="1"/>
  <c r="Y269" i="13"/>
  <c r="AP268" i="13"/>
  <c r="BT268" i="13" s="1"/>
  <c r="I268" i="13" s="1"/>
  <c r="AO268" i="13"/>
  <c r="AN268" i="13"/>
  <c r="BR268" i="13" s="1"/>
  <c r="G268" i="13" s="1"/>
  <c r="AA268" i="13"/>
  <c r="Z268" i="13"/>
  <c r="BS268" i="13" s="1"/>
  <c r="H268" i="13" s="1"/>
  <c r="Y268" i="13"/>
  <c r="BT267" i="13"/>
  <c r="BS267" i="13"/>
  <c r="AA267" i="13"/>
  <c r="Z267" i="13"/>
  <c r="Y267" i="13"/>
  <c r="BR267" i="13" s="1"/>
  <c r="G267" i="13" s="1"/>
  <c r="I267" i="13"/>
  <c r="H267" i="13"/>
  <c r="BR266" i="13"/>
  <c r="AA266" i="13"/>
  <c r="BT266" i="13" s="1"/>
  <c r="Z266" i="13"/>
  <c r="BS266" i="13" s="1"/>
  <c r="H266" i="13" s="1"/>
  <c r="Y266" i="13"/>
  <c r="I266" i="13"/>
  <c r="G266" i="13"/>
  <c r="BT265" i="13"/>
  <c r="I265" i="13" s="1"/>
  <c r="BS265" i="13"/>
  <c r="H265" i="13" s="1"/>
  <c r="BR265" i="13"/>
  <c r="AP265" i="13"/>
  <c r="AO265" i="13"/>
  <c r="AN265" i="13"/>
  <c r="AA265" i="13"/>
  <c r="Z265" i="13"/>
  <c r="Y265" i="13"/>
  <c r="G265" i="13"/>
  <c r="BT264" i="13"/>
  <c r="BS264" i="13"/>
  <c r="H264" i="13" s="1"/>
  <c r="BR264" i="13"/>
  <c r="G264" i="13" s="1"/>
  <c r="AP264" i="13"/>
  <c r="AO264" i="13"/>
  <c r="AN264" i="13"/>
  <c r="AA264" i="13"/>
  <c r="Z264" i="13"/>
  <c r="Y264" i="13"/>
  <c r="I264" i="13"/>
  <c r="BT263" i="13"/>
  <c r="I263" i="13" s="1"/>
  <c r="BS263" i="13"/>
  <c r="H263" i="13" s="1"/>
  <c r="BR263" i="13"/>
  <c r="AP263" i="13"/>
  <c r="AO263" i="13"/>
  <c r="AN263" i="13"/>
  <c r="AA263" i="13"/>
  <c r="Z263" i="13"/>
  <c r="Y263" i="13"/>
  <c r="G263" i="13"/>
  <c r="BT262" i="13"/>
  <c r="I262" i="13" s="1"/>
  <c r="AN262" i="13"/>
  <c r="AB262" i="13"/>
  <c r="AB272" i="13" s="1"/>
  <c r="AB273" i="13" s="1"/>
  <c r="AA262" i="13"/>
  <c r="Z262" i="13"/>
  <c r="BS262" i="13" s="1"/>
  <c r="H262" i="13" s="1"/>
  <c r="Y262" i="13"/>
  <c r="BR262" i="13" s="1"/>
  <c r="G262" i="13" s="1"/>
  <c r="BT261" i="13"/>
  <c r="I261" i="13" s="1"/>
  <c r="BR261" i="13"/>
  <c r="G261" i="13" s="1"/>
  <c r="AP261" i="13"/>
  <c r="AO261" i="13"/>
  <c r="AN261" i="13"/>
  <c r="AA261" i="13"/>
  <c r="Z261" i="13"/>
  <c r="BS261" i="13" s="1"/>
  <c r="H261" i="13" s="1"/>
  <c r="Y261" i="13"/>
  <c r="BT260" i="13"/>
  <c r="I260" i="13" s="1"/>
  <c r="BF260" i="13"/>
  <c r="BF272" i="13" s="1"/>
  <c r="AA260" i="13"/>
  <c r="T260" i="13"/>
  <c r="Z260" i="13" s="1"/>
  <c r="BS260" i="13" s="1"/>
  <c r="H260" i="13" s="1"/>
  <c r="S260" i="13"/>
  <c r="Y260" i="13" s="1"/>
  <c r="BR260" i="13" s="1"/>
  <c r="G260" i="13" s="1"/>
  <c r="BS259" i="13"/>
  <c r="H259" i="13" s="1"/>
  <c r="AA259" i="13"/>
  <c r="BT259" i="13" s="1"/>
  <c r="I259" i="13" s="1"/>
  <c r="Z259" i="13"/>
  <c r="T259" i="13"/>
  <c r="S259" i="13"/>
  <c r="Y259" i="13" s="1"/>
  <c r="BR259" i="13" s="1"/>
  <c r="G259" i="13" s="1"/>
  <c r="BR258" i="13"/>
  <c r="G258" i="13" s="1"/>
  <c r="AA258" i="13"/>
  <c r="BT258" i="13" s="1"/>
  <c r="Z258" i="13"/>
  <c r="BS258" i="13" s="1"/>
  <c r="H258" i="13" s="1"/>
  <c r="Y258" i="13"/>
  <c r="T258" i="13"/>
  <c r="S258" i="13"/>
  <c r="I258" i="13"/>
  <c r="AA257" i="13"/>
  <c r="BT257" i="13" s="1"/>
  <c r="I257" i="13" s="1"/>
  <c r="Z257" i="13"/>
  <c r="BS257" i="13" s="1"/>
  <c r="Y257" i="13"/>
  <c r="BR257" i="13" s="1"/>
  <c r="G257" i="13" s="1"/>
  <c r="T257" i="13"/>
  <c r="S257" i="13"/>
  <c r="H257" i="13"/>
  <c r="BS256" i="13"/>
  <c r="H256" i="13" s="1"/>
  <c r="BI256" i="13"/>
  <c r="BI272" i="13" s="1"/>
  <c r="AN256" i="13"/>
  <c r="AE256" i="13"/>
  <c r="AA256" i="13"/>
  <c r="BT256" i="13" s="1"/>
  <c r="I256" i="13" s="1"/>
  <c r="Z256" i="13"/>
  <c r="Y256" i="13"/>
  <c r="AA255" i="13"/>
  <c r="BT255" i="13" s="1"/>
  <c r="I255" i="13" s="1"/>
  <c r="Y255" i="13"/>
  <c r="BR255" i="13" s="1"/>
  <c r="G255" i="13" s="1"/>
  <c r="T255" i="13"/>
  <c r="Z255" i="13" s="1"/>
  <c r="BS255" i="13" s="1"/>
  <c r="H255" i="13" s="1"/>
  <c r="S255" i="13"/>
  <c r="BT254" i="13"/>
  <c r="BI254" i="13"/>
  <c r="AN254" i="13"/>
  <c r="AE254" i="13"/>
  <c r="BR254" i="13" s="1"/>
  <c r="AA254" i="13"/>
  <c r="Y254" i="13"/>
  <c r="T254" i="13"/>
  <c r="Z254" i="13" s="1"/>
  <c r="S254" i="13"/>
  <c r="BW253" i="13"/>
  <c r="BW273" i="13" s="1"/>
  <c r="BV253" i="13"/>
  <c r="BU253" i="13"/>
  <c r="BU273" i="13" s="1"/>
  <c r="BQ253" i="13"/>
  <c r="BQ273" i="13" s="1"/>
  <c r="BP253" i="13"/>
  <c r="BP273" i="13" s="1"/>
  <c r="BO253" i="13"/>
  <c r="BN253" i="13"/>
  <c r="BM253" i="13"/>
  <c r="BM273" i="13" s="1"/>
  <c r="BK253" i="13"/>
  <c r="BJ253" i="13"/>
  <c r="BJ273" i="13" s="1"/>
  <c r="BI253" i="13"/>
  <c r="BH253" i="13"/>
  <c r="BH273" i="13" s="1"/>
  <c r="BG253" i="13"/>
  <c r="BG273" i="13" s="1"/>
  <c r="BF253" i="13"/>
  <c r="BE253" i="13"/>
  <c r="BE273" i="13" s="1"/>
  <c r="BD253" i="13"/>
  <c r="BC253" i="13"/>
  <c r="BB253" i="13"/>
  <c r="BB273" i="13" s="1"/>
  <c r="BA253" i="13"/>
  <c r="AZ253" i="13"/>
  <c r="AY253" i="13"/>
  <c r="AX253" i="13"/>
  <c r="AX273" i="13" s="1"/>
  <c r="AW253" i="13"/>
  <c r="AW273" i="13" s="1"/>
  <c r="AV253" i="13"/>
  <c r="AV273" i="13" s="1"/>
  <c r="AU253" i="13"/>
  <c r="AU273" i="13" s="1"/>
  <c r="AT253" i="13"/>
  <c r="AS253" i="13"/>
  <c r="AS273" i="13" s="1"/>
  <c r="AR253" i="13"/>
  <c r="AQ253" i="13"/>
  <c r="AP253" i="13"/>
  <c r="AO253" i="13"/>
  <c r="AN253" i="13"/>
  <c r="AM253" i="13"/>
  <c r="AL253" i="13"/>
  <c r="AL273" i="13" s="1"/>
  <c r="AK253" i="13"/>
  <c r="AK273" i="13" s="1"/>
  <c r="AJ253" i="13"/>
  <c r="AJ273" i="13" s="1"/>
  <c r="AI253" i="13"/>
  <c r="AI273" i="13" s="1"/>
  <c r="AH253" i="13"/>
  <c r="AH273" i="13" s="1"/>
  <c r="AG253" i="13"/>
  <c r="AG273" i="13" s="1"/>
  <c r="AF253" i="13"/>
  <c r="AE253" i="13"/>
  <c r="AD253" i="13"/>
  <c r="AD273" i="13" s="1"/>
  <c r="AC253" i="13"/>
  <c r="AB253" i="13"/>
  <c r="Y253" i="13"/>
  <c r="X253" i="13"/>
  <c r="X273" i="13" s="1"/>
  <c r="W253" i="13"/>
  <c r="W273" i="13" s="1"/>
  <c r="V253" i="13"/>
  <c r="V273" i="13" s="1"/>
  <c r="U253" i="13"/>
  <c r="U273" i="13" s="1"/>
  <c r="T253" i="13"/>
  <c r="T273" i="13" s="1"/>
  <c r="S253" i="13"/>
  <c r="R253" i="13"/>
  <c r="R273" i="13" s="1"/>
  <c r="Q253" i="13"/>
  <c r="P253" i="13"/>
  <c r="O253" i="13"/>
  <c r="N253" i="13"/>
  <c r="M253" i="13"/>
  <c r="M273" i="13" s="1"/>
  <c r="L253" i="13"/>
  <c r="L273" i="13" s="1"/>
  <c r="K253" i="13"/>
  <c r="K273" i="13" s="1"/>
  <c r="J253" i="13"/>
  <c r="J273" i="13" s="1"/>
  <c r="BT252" i="13"/>
  <c r="I252" i="13" s="1"/>
  <c r="BS252" i="13"/>
  <c r="BL252" i="13"/>
  <c r="AA252" i="13"/>
  <c r="Z252" i="13"/>
  <c r="Y252" i="13"/>
  <c r="H252" i="13"/>
  <c r="BR251" i="13"/>
  <c r="AA251" i="13"/>
  <c r="BT251" i="13" s="1"/>
  <c r="I251" i="13" s="1"/>
  <c r="Z251" i="13"/>
  <c r="BS251" i="13" s="1"/>
  <c r="H251" i="13" s="1"/>
  <c r="Y251" i="13"/>
  <c r="G251" i="13"/>
  <c r="BT250" i="13"/>
  <c r="BS250" i="13"/>
  <c r="BR250" i="13"/>
  <c r="G250" i="13" s="1"/>
  <c r="H250" i="13"/>
  <c r="BT249" i="13"/>
  <c r="BS249" i="13"/>
  <c r="BR249" i="13"/>
  <c r="H249" i="13"/>
  <c r="G249" i="13"/>
  <c r="BT248" i="13"/>
  <c r="I248" i="13" s="1"/>
  <c r="BS248" i="13"/>
  <c r="H248" i="13" s="1"/>
  <c r="BR248" i="13"/>
  <c r="AA248" i="13"/>
  <c r="Z248" i="13"/>
  <c r="Y248" i="13"/>
  <c r="G248" i="13"/>
  <c r="AA247" i="13"/>
  <c r="BT247" i="13" s="1"/>
  <c r="I247" i="13" s="1"/>
  <c r="Z247" i="13"/>
  <c r="BS247" i="13" s="1"/>
  <c r="H247" i="13" s="1"/>
  <c r="Y247" i="13"/>
  <c r="BR247" i="13" s="1"/>
  <c r="G247" i="13" s="1"/>
  <c r="BT246" i="13"/>
  <c r="BS246" i="13"/>
  <c r="H246" i="13" s="1"/>
  <c r="BR246" i="13"/>
  <c r="G246" i="13" s="1"/>
  <c r="I246" i="13"/>
  <c r="BT245" i="13"/>
  <c r="I245" i="13" s="1"/>
  <c r="BS245" i="13"/>
  <c r="H245" i="13" s="1"/>
  <c r="BR245" i="13"/>
  <c r="G245" i="13" s="1"/>
  <c r="BS244" i="13"/>
  <c r="H244" i="13" s="1"/>
  <c r="BR244" i="13"/>
  <c r="AA244" i="13"/>
  <c r="BT244" i="13" s="1"/>
  <c r="I244" i="13" s="1"/>
  <c r="Z244" i="13"/>
  <c r="Y244" i="13"/>
  <c r="G244" i="13"/>
  <c r="BT243" i="13"/>
  <c r="I243" i="13" s="1"/>
  <c r="BR243" i="13"/>
  <c r="AA243" i="13"/>
  <c r="Z243" i="13"/>
  <c r="BS243" i="13" s="1"/>
  <c r="H243" i="13" s="1"/>
  <c r="Y243" i="13"/>
  <c r="G243" i="13"/>
  <c r="BT242" i="13"/>
  <c r="I242" i="13" s="1"/>
  <c r="BS242" i="13"/>
  <c r="H242" i="13" s="1"/>
  <c r="BR242" i="13"/>
  <c r="G242" i="13"/>
  <c r="BR241" i="13"/>
  <c r="AA241" i="13"/>
  <c r="BT241" i="13" s="1"/>
  <c r="BT253" i="13" s="1"/>
  <c r="Z241" i="13"/>
  <c r="Z253" i="13" s="1"/>
  <c r="Y241" i="13"/>
  <c r="AM240" i="13"/>
  <c r="BW239" i="13"/>
  <c r="BV239" i="13"/>
  <c r="BU239" i="13"/>
  <c r="BQ239" i="13"/>
  <c r="BP239" i="13"/>
  <c r="BO239" i="13"/>
  <c r="BO240" i="13" s="1"/>
  <c r="BK239" i="13"/>
  <c r="BJ239" i="13"/>
  <c r="BH239" i="13"/>
  <c r="BG239" i="13"/>
  <c r="BE239" i="13"/>
  <c r="BD239" i="13"/>
  <c r="BC239" i="13"/>
  <c r="BB239" i="13"/>
  <c r="BA239" i="13"/>
  <c r="AY239" i="13"/>
  <c r="AX239" i="13"/>
  <c r="AW239" i="13"/>
  <c r="AV239" i="13"/>
  <c r="AU239" i="13"/>
  <c r="AT239" i="13"/>
  <c r="AS239" i="13"/>
  <c r="AR239" i="13"/>
  <c r="AQ239" i="13"/>
  <c r="AP239" i="13"/>
  <c r="AO239" i="13"/>
  <c r="AM239" i="13"/>
  <c r="AL239" i="13"/>
  <c r="AK239" i="13"/>
  <c r="AJ239" i="13"/>
  <c r="AI239" i="13"/>
  <c r="AG239" i="13"/>
  <c r="AF239" i="13"/>
  <c r="AE239" i="13"/>
  <c r="AD239" i="13"/>
  <c r="AC239" i="13"/>
  <c r="AB239" i="13"/>
  <c r="X239" i="13"/>
  <c r="W239" i="13"/>
  <c r="V239" i="13"/>
  <c r="U239" i="13"/>
  <c r="T239" i="13"/>
  <c r="R239" i="13"/>
  <c r="Q239" i="13"/>
  <c r="P239" i="13"/>
  <c r="O239" i="13"/>
  <c r="N239" i="13"/>
  <c r="M239" i="13"/>
  <c r="L239" i="13"/>
  <c r="K239" i="13"/>
  <c r="J239" i="13"/>
  <c r="BS238" i="13"/>
  <c r="H238" i="13" s="1"/>
  <c r="BR238" i="13"/>
  <c r="AA238" i="13"/>
  <c r="BT238" i="13" s="1"/>
  <c r="I238" i="13" s="1"/>
  <c r="Z238" i="13"/>
  <c r="Y238" i="13"/>
  <c r="G238" i="13"/>
  <c r="BR237" i="13"/>
  <c r="G237" i="13" s="1"/>
  <c r="BO237" i="13"/>
  <c r="AA237" i="13"/>
  <c r="BT237" i="13" s="1"/>
  <c r="Z237" i="13"/>
  <c r="BS237" i="13" s="1"/>
  <c r="H237" i="13" s="1"/>
  <c r="Y237" i="13"/>
  <c r="I237" i="13"/>
  <c r="AA236" i="13"/>
  <c r="BT236" i="13" s="1"/>
  <c r="Z236" i="13"/>
  <c r="BS236" i="13" s="1"/>
  <c r="H236" i="13" s="1"/>
  <c r="Y236" i="13"/>
  <c r="BR236" i="13" s="1"/>
  <c r="I236" i="13"/>
  <c r="G236" i="13"/>
  <c r="BT235" i="13"/>
  <c r="I235" i="13" s="1"/>
  <c r="BS235" i="13"/>
  <c r="BR235" i="13"/>
  <c r="G235" i="13" s="1"/>
  <c r="AA235" i="13"/>
  <c r="Z235" i="13"/>
  <c r="Y235" i="13"/>
  <c r="H235" i="13"/>
  <c r="BS234" i="13"/>
  <c r="H234" i="13" s="1"/>
  <c r="BR234" i="13"/>
  <c r="G234" i="13" s="1"/>
  <c r="AA234" i="13"/>
  <c r="BT234" i="13" s="1"/>
  <c r="I234" i="13" s="1"/>
  <c r="Z234" i="13"/>
  <c r="Y234" i="13"/>
  <c r="AN233" i="13"/>
  <c r="AN239" i="13" s="1"/>
  <c r="AK233" i="13"/>
  <c r="AA233" i="13"/>
  <c r="BT233" i="13" s="1"/>
  <c r="I233" i="13" s="1"/>
  <c r="Z233" i="13"/>
  <c r="BS233" i="13" s="1"/>
  <c r="H233" i="13" s="1"/>
  <c r="Y233" i="13"/>
  <c r="BS232" i="13"/>
  <c r="H232" i="13" s="1"/>
  <c r="BR232" i="13"/>
  <c r="AA232" i="13"/>
  <c r="BT232" i="13" s="1"/>
  <c r="I232" i="13" s="1"/>
  <c r="Z232" i="13"/>
  <c r="Y232" i="13"/>
  <c r="G232" i="13"/>
  <c r="BT231" i="13"/>
  <c r="I231" i="13" s="1"/>
  <c r="BR231" i="13"/>
  <c r="AA231" i="13"/>
  <c r="Z231" i="13"/>
  <c r="BS231" i="13" s="1"/>
  <c r="H231" i="13" s="1"/>
  <c r="Y231" i="13"/>
  <c r="G231" i="13"/>
  <c r="BT230" i="13"/>
  <c r="I230" i="13" s="1"/>
  <c r="BS230" i="13"/>
  <c r="AA230" i="13"/>
  <c r="Z230" i="13"/>
  <c r="Y230" i="13"/>
  <c r="BR230" i="13" s="1"/>
  <c r="G230" i="13" s="1"/>
  <c r="H230" i="13"/>
  <c r="BR229" i="13"/>
  <c r="G229" i="13" s="1"/>
  <c r="AA229" i="13"/>
  <c r="BT229" i="13" s="1"/>
  <c r="I229" i="13" s="1"/>
  <c r="Z229" i="13"/>
  <c r="BS229" i="13" s="1"/>
  <c r="H229" i="13" s="1"/>
  <c r="Y229" i="13"/>
  <c r="BR228" i="13"/>
  <c r="G228" i="13" s="1"/>
  <c r="BM228" i="13"/>
  <c r="BL228" i="13"/>
  <c r="AA228" i="13"/>
  <c r="BT228" i="13" s="1"/>
  <c r="I228" i="13" s="1"/>
  <c r="Z228" i="13"/>
  <c r="BS228" i="13" s="1"/>
  <c r="H228" i="13" s="1"/>
  <c r="Y228" i="13"/>
  <c r="BT227" i="13"/>
  <c r="I227" i="13" s="1"/>
  <c r="AA227" i="13"/>
  <c r="Z227" i="13"/>
  <c r="BS227" i="13" s="1"/>
  <c r="Y227" i="13"/>
  <c r="BR227" i="13" s="1"/>
  <c r="G227" i="13" s="1"/>
  <c r="H227" i="13"/>
  <c r="BT226" i="13"/>
  <c r="I226" i="13" s="1"/>
  <c r="BS226" i="13"/>
  <c r="H226" i="13" s="1"/>
  <c r="AA226" i="13"/>
  <c r="Z226" i="13"/>
  <c r="Y226" i="13"/>
  <c r="BR226" i="13" s="1"/>
  <c r="G226" i="13" s="1"/>
  <c r="BS225" i="13"/>
  <c r="H225" i="13" s="1"/>
  <c r="AA225" i="13"/>
  <c r="BT225" i="13" s="1"/>
  <c r="I225" i="13" s="1"/>
  <c r="Z225" i="13"/>
  <c r="S225" i="13"/>
  <c r="Y225" i="13" s="1"/>
  <c r="BR225" i="13" s="1"/>
  <c r="G225" i="13" s="1"/>
  <c r="BS224" i="13"/>
  <c r="H224" i="13" s="1"/>
  <c r="AZ224" i="13"/>
  <c r="AA224" i="13"/>
  <c r="BT224" i="13" s="1"/>
  <c r="I224" i="13" s="1"/>
  <c r="Z224" i="13"/>
  <c r="Y224" i="13"/>
  <c r="BR224" i="13" s="1"/>
  <c r="G224" i="13" s="1"/>
  <c r="BT223" i="13"/>
  <c r="I223" i="13" s="1"/>
  <c r="AA223" i="13"/>
  <c r="Z223" i="13"/>
  <c r="BS223" i="13" s="1"/>
  <c r="H223" i="13" s="1"/>
  <c r="Y223" i="13"/>
  <c r="BR223" i="13" s="1"/>
  <c r="G223" i="13" s="1"/>
  <c r="AA222" i="13"/>
  <c r="BT222" i="13" s="1"/>
  <c r="Z222" i="13"/>
  <c r="BS222" i="13" s="1"/>
  <c r="H222" i="13" s="1"/>
  <c r="Y222" i="13"/>
  <c r="BR222" i="13" s="1"/>
  <c r="I222" i="13"/>
  <c r="G222" i="13"/>
  <c r="BT221" i="13"/>
  <c r="I221" i="13" s="1"/>
  <c r="BS221" i="13"/>
  <c r="BR221" i="13"/>
  <c r="G221" i="13" s="1"/>
  <c r="AA221" i="13"/>
  <c r="Z221" i="13"/>
  <c r="Y221" i="13"/>
  <c r="H221" i="13"/>
  <c r="BS220" i="13"/>
  <c r="H220" i="13" s="1"/>
  <c r="BR220" i="13"/>
  <c r="G220" i="13" s="1"/>
  <c r="AA220" i="13"/>
  <c r="BT220" i="13" s="1"/>
  <c r="Z220" i="13"/>
  <c r="Y220" i="13"/>
  <c r="I220" i="13"/>
  <c r="AA219" i="13"/>
  <c r="BT219" i="13" s="1"/>
  <c r="Z219" i="13"/>
  <c r="BS219" i="13" s="1"/>
  <c r="H219" i="13" s="1"/>
  <c r="Y219" i="13"/>
  <c r="BR219" i="13" s="1"/>
  <c r="I219" i="13"/>
  <c r="G219" i="13"/>
  <c r="BT218" i="13"/>
  <c r="I218" i="13" s="1"/>
  <c r="AA218" i="13"/>
  <c r="Z218" i="13"/>
  <c r="BS218" i="13" s="1"/>
  <c r="H218" i="13" s="1"/>
  <c r="Y218" i="13"/>
  <c r="BR218" i="13" s="1"/>
  <c r="G218" i="13"/>
  <c r="BS217" i="13"/>
  <c r="H217" i="13" s="1"/>
  <c r="BR217" i="13"/>
  <c r="G217" i="13" s="1"/>
  <c r="AA217" i="13"/>
  <c r="BT217" i="13" s="1"/>
  <c r="Z217" i="13"/>
  <c r="Y217" i="13"/>
  <c r="I217" i="13"/>
  <c r="AA216" i="13"/>
  <c r="BT216" i="13" s="1"/>
  <c r="I216" i="13" s="1"/>
  <c r="Z216" i="13"/>
  <c r="BS216" i="13" s="1"/>
  <c r="Y216" i="13"/>
  <c r="BR216" i="13" s="1"/>
  <c r="G216" i="13" s="1"/>
  <c r="H216" i="13"/>
  <c r="AA215" i="13"/>
  <c r="BT215" i="13" s="1"/>
  <c r="I215" i="13" s="1"/>
  <c r="Z215" i="13"/>
  <c r="BS215" i="13" s="1"/>
  <c r="H215" i="13" s="1"/>
  <c r="Y215" i="13"/>
  <c r="BR215" i="13" s="1"/>
  <c r="G215" i="13"/>
  <c r="BT214" i="13"/>
  <c r="I214" i="13" s="1"/>
  <c r="AA214" i="13"/>
  <c r="Z214" i="13"/>
  <c r="BS214" i="13" s="1"/>
  <c r="H214" i="13" s="1"/>
  <c r="Y214" i="13"/>
  <c r="BR214" i="13" s="1"/>
  <c r="G214" i="13"/>
  <c r="BS213" i="13"/>
  <c r="H213" i="13" s="1"/>
  <c r="AZ213" i="13"/>
  <c r="AA213" i="13"/>
  <c r="BT213" i="13" s="1"/>
  <c r="I213" i="13" s="1"/>
  <c r="Z213" i="13"/>
  <c r="Y213" i="13"/>
  <c r="BS212" i="13"/>
  <c r="H212" i="13" s="1"/>
  <c r="BR212" i="13"/>
  <c r="G212" i="13" s="1"/>
  <c r="BN212" i="13"/>
  <c r="BN239" i="13" s="1"/>
  <c r="BM212" i="13"/>
  <c r="BM239" i="13" s="1"/>
  <c r="BL212" i="13"/>
  <c r="AA212" i="13"/>
  <c r="BT212" i="13" s="1"/>
  <c r="I212" i="13" s="1"/>
  <c r="Z212" i="13"/>
  <c r="Y212" i="13"/>
  <c r="BT211" i="13"/>
  <c r="BF211" i="13"/>
  <c r="BR211" i="13" s="1"/>
  <c r="G211" i="13" s="1"/>
  <c r="AA211" i="13"/>
  <c r="Z211" i="13"/>
  <c r="BS211" i="13" s="1"/>
  <c r="H211" i="13" s="1"/>
  <c r="Y211" i="13"/>
  <c r="I211" i="13"/>
  <c r="BT210" i="13"/>
  <c r="I210" i="13" s="1"/>
  <c r="BS210" i="13"/>
  <c r="H210" i="13" s="1"/>
  <c r="BR210" i="13"/>
  <c r="G210" i="13" s="1"/>
  <c r="AA210" i="13"/>
  <c r="Z210" i="13"/>
  <c r="Y210" i="13"/>
  <c r="BT209" i="13"/>
  <c r="I209" i="13" s="1"/>
  <c r="AA209" i="13"/>
  <c r="Z209" i="13"/>
  <c r="BS209" i="13" s="1"/>
  <c r="Y209" i="13"/>
  <c r="BR209" i="13" s="1"/>
  <c r="G209" i="13" s="1"/>
  <c r="H209" i="13"/>
  <c r="BL208" i="13"/>
  <c r="BI208" i="13"/>
  <c r="BI239" i="13" s="1"/>
  <c r="BI240" i="13" s="1"/>
  <c r="BF208" i="13"/>
  <c r="AA208" i="13"/>
  <c r="BT208" i="13" s="1"/>
  <c r="I208" i="13" s="1"/>
  <c r="Z208" i="13"/>
  <c r="BS208" i="13" s="1"/>
  <c r="H208" i="13" s="1"/>
  <c r="Y208" i="13"/>
  <c r="BO207" i="13"/>
  <c r="AH207" i="13"/>
  <c r="AA207" i="13"/>
  <c r="BT207" i="13" s="1"/>
  <c r="Z207" i="13"/>
  <c r="BS207" i="13" s="1"/>
  <c r="H207" i="13" s="1"/>
  <c r="Y207" i="13"/>
  <c r="I207" i="13"/>
  <c r="BO206" i="13"/>
  <c r="AA206" i="13"/>
  <c r="Z206" i="13"/>
  <c r="BS206" i="13" s="1"/>
  <c r="Y206" i="13"/>
  <c r="BR206" i="13" s="1"/>
  <c r="G206" i="13" s="1"/>
  <c r="H206" i="13"/>
  <c r="BT205" i="13"/>
  <c r="BS205" i="13"/>
  <c r="H205" i="13" s="1"/>
  <c r="BR205" i="13"/>
  <c r="AA205" i="13"/>
  <c r="Z205" i="13"/>
  <c r="Y205" i="13"/>
  <c r="I205" i="13"/>
  <c r="G205" i="13"/>
  <c r="BT204" i="13"/>
  <c r="BS204" i="13"/>
  <c r="BO204" i="13"/>
  <c r="BL204" i="13"/>
  <c r="AH204" i="13"/>
  <c r="AH239" i="13" s="1"/>
  <c r="AA204" i="13"/>
  <c r="Z204" i="13"/>
  <c r="Y204" i="13"/>
  <c r="I204" i="13"/>
  <c r="BW203" i="13"/>
  <c r="BV203" i="13"/>
  <c r="BV240" i="13" s="1"/>
  <c r="BU203" i="13"/>
  <c r="BU240" i="13" s="1"/>
  <c r="BQ203" i="13"/>
  <c r="BQ240" i="13" s="1"/>
  <c r="BP203" i="13"/>
  <c r="BP240" i="13" s="1"/>
  <c r="BO203" i="13"/>
  <c r="BN203" i="13"/>
  <c r="BN240" i="13" s="1"/>
  <c r="BM203" i="13"/>
  <c r="BM240" i="13" s="1"/>
  <c r="BL203" i="13"/>
  <c r="BK203" i="13"/>
  <c r="BK240" i="13" s="1"/>
  <c r="BJ203" i="13"/>
  <c r="BJ240" i="13" s="1"/>
  <c r="BH203" i="13"/>
  <c r="BG203" i="13"/>
  <c r="BG240" i="13" s="1"/>
  <c r="BF203" i="13"/>
  <c r="BE203" i="13"/>
  <c r="BE240" i="13" s="1"/>
  <c r="BD203" i="13"/>
  <c r="BD240" i="13" s="1"/>
  <c r="BC203" i="13"/>
  <c r="BC240" i="13" s="1"/>
  <c r="BB203" i="13"/>
  <c r="BB240" i="13" s="1"/>
  <c r="BA203" i="13"/>
  <c r="BA240" i="13" s="1"/>
  <c r="AZ203" i="13"/>
  <c r="AY203" i="13"/>
  <c r="AY240" i="13" s="1"/>
  <c r="AX203" i="13"/>
  <c r="AX240" i="13" s="1"/>
  <c r="AW203" i="13"/>
  <c r="AW240" i="13" s="1"/>
  <c r="AV203" i="13"/>
  <c r="AU203" i="13"/>
  <c r="AU240" i="13" s="1"/>
  <c r="AT203" i="13"/>
  <c r="AT240" i="13" s="1"/>
  <c r="AS203" i="13"/>
  <c r="AS240" i="13" s="1"/>
  <c r="AR203" i="13"/>
  <c r="AR240" i="13" s="1"/>
  <c r="AP203" i="13"/>
  <c r="AP240" i="13" s="1"/>
  <c r="AO203" i="13"/>
  <c r="AO240" i="13" s="1"/>
  <c r="AM203" i="13"/>
  <c r="AL203" i="13"/>
  <c r="AL240" i="13" s="1"/>
  <c r="AK203" i="13"/>
  <c r="AJ203" i="13"/>
  <c r="AG203" i="13"/>
  <c r="AG240" i="13" s="1"/>
  <c r="AF203" i="13"/>
  <c r="AF240" i="13" s="1"/>
  <c r="AD203" i="13"/>
  <c r="AD240" i="13" s="1"/>
  <c r="AC203" i="13"/>
  <c r="AC240" i="13" s="1"/>
  <c r="AB203" i="13"/>
  <c r="AB240" i="13" s="1"/>
  <c r="X203" i="13"/>
  <c r="W203" i="13"/>
  <c r="W240" i="13" s="1"/>
  <c r="V203" i="13"/>
  <c r="V240" i="13" s="1"/>
  <c r="U203" i="13"/>
  <c r="U240" i="13" s="1"/>
  <c r="T203" i="13"/>
  <c r="T240" i="13" s="1"/>
  <c r="S203" i="13"/>
  <c r="R203" i="13"/>
  <c r="R240" i="13" s="1"/>
  <c r="Q203" i="13"/>
  <c r="Q240" i="13" s="1"/>
  <c r="P203" i="13"/>
  <c r="P240" i="13" s="1"/>
  <c r="O203" i="13"/>
  <c r="O240" i="13" s="1"/>
  <c r="N203" i="13"/>
  <c r="N240" i="13" s="1"/>
  <c r="M203" i="13"/>
  <c r="M240" i="13" s="1"/>
  <c r="L203" i="13"/>
  <c r="K203" i="13"/>
  <c r="K240" i="13" s="1"/>
  <c r="J203" i="13"/>
  <c r="J240" i="13" s="1"/>
  <c r="BT202" i="13"/>
  <c r="I202" i="13" s="1"/>
  <c r="BS202" i="13"/>
  <c r="H202" i="13" s="1"/>
  <c r="BF202" i="13"/>
  <c r="BR202" i="13" s="1"/>
  <c r="G202" i="13" s="1"/>
  <c r="AH202" i="13"/>
  <c r="AA202" i="13"/>
  <c r="Z202" i="13"/>
  <c r="Y202" i="13"/>
  <c r="AA201" i="13"/>
  <c r="BT201" i="13" s="1"/>
  <c r="I201" i="13" s="1"/>
  <c r="Z201" i="13"/>
  <c r="BS201" i="13" s="1"/>
  <c r="H201" i="13" s="1"/>
  <c r="Y201" i="13"/>
  <c r="BR201" i="13" s="1"/>
  <c r="G201" i="13" s="1"/>
  <c r="BT200" i="13"/>
  <c r="I200" i="13" s="1"/>
  <c r="AA200" i="13"/>
  <c r="Z200" i="13"/>
  <c r="BS200" i="13" s="1"/>
  <c r="H200" i="13" s="1"/>
  <c r="Y200" i="13"/>
  <c r="BR200" i="13" s="1"/>
  <c r="G200" i="13" s="1"/>
  <c r="BT199" i="13"/>
  <c r="I199" i="13" s="1"/>
  <c r="AE199" i="13"/>
  <c r="BR199" i="13" s="1"/>
  <c r="G199" i="13" s="1"/>
  <c r="AA199" i="13"/>
  <c r="Z199" i="13"/>
  <c r="BS199" i="13" s="1"/>
  <c r="H199" i="13" s="1"/>
  <c r="Y199" i="13"/>
  <c r="BT198" i="13"/>
  <c r="I198" i="13" s="1"/>
  <c r="BR198" i="13"/>
  <c r="G198" i="13" s="1"/>
  <c r="AA198" i="13"/>
  <c r="Z198" i="13"/>
  <c r="BS198" i="13" s="1"/>
  <c r="H198" i="13" s="1"/>
  <c r="Y198" i="13"/>
  <c r="BT197" i="13"/>
  <c r="I197" i="13" s="1"/>
  <c r="BR197" i="13"/>
  <c r="AA197" i="13"/>
  <c r="Z197" i="13"/>
  <c r="BS197" i="13" s="1"/>
  <c r="H197" i="13" s="1"/>
  <c r="Y197" i="13"/>
  <c r="G197" i="13"/>
  <c r="BS196" i="13"/>
  <c r="H196" i="13" s="1"/>
  <c r="AA196" i="13"/>
  <c r="BT196" i="13" s="1"/>
  <c r="Z196" i="13"/>
  <c r="Y196" i="13"/>
  <c r="BR196" i="13" s="1"/>
  <c r="I196" i="13"/>
  <c r="G196" i="13"/>
  <c r="BT195" i="13"/>
  <c r="BR195" i="13"/>
  <c r="G195" i="13" s="1"/>
  <c r="AA195" i="13"/>
  <c r="Z195" i="13"/>
  <c r="BS195" i="13" s="1"/>
  <c r="H195" i="13" s="1"/>
  <c r="Y195" i="13"/>
  <c r="I195" i="13"/>
  <c r="BT194" i="13"/>
  <c r="I194" i="13" s="1"/>
  <c r="BR194" i="13"/>
  <c r="G194" i="13" s="1"/>
  <c r="AA194" i="13"/>
  <c r="Z194" i="13"/>
  <c r="BS194" i="13" s="1"/>
  <c r="H194" i="13" s="1"/>
  <c r="Y194" i="13"/>
  <c r="BT193" i="13"/>
  <c r="I193" i="13" s="1"/>
  <c r="BS193" i="13"/>
  <c r="H193" i="13" s="1"/>
  <c r="AA193" i="13"/>
  <c r="Z193" i="13"/>
  <c r="Y193" i="13"/>
  <c r="BR193" i="13" s="1"/>
  <c r="G193" i="13" s="1"/>
  <c r="AA192" i="13"/>
  <c r="BT192" i="13" s="1"/>
  <c r="Z192" i="13"/>
  <c r="BS192" i="13" s="1"/>
  <c r="H192" i="13" s="1"/>
  <c r="Y192" i="13"/>
  <c r="BR192" i="13" s="1"/>
  <c r="I192" i="13"/>
  <c r="G192" i="13"/>
  <c r="BT191" i="13"/>
  <c r="BR191" i="13"/>
  <c r="G191" i="13" s="1"/>
  <c r="AA191" i="13"/>
  <c r="Z191" i="13"/>
  <c r="BS191" i="13" s="1"/>
  <c r="H191" i="13" s="1"/>
  <c r="Y191" i="13"/>
  <c r="I191" i="13"/>
  <c r="BT190" i="13"/>
  <c r="I190" i="13" s="1"/>
  <c r="BS190" i="13"/>
  <c r="H190" i="13" s="1"/>
  <c r="AA190" i="13"/>
  <c r="Z190" i="13"/>
  <c r="Y190" i="13"/>
  <c r="BR190" i="13" s="1"/>
  <c r="G190" i="13" s="1"/>
  <c r="BT189" i="13"/>
  <c r="I189" i="13" s="1"/>
  <c r="BR189" i="13"/>
  <c r="G189" i="13" s="1"/>
  <c r="AH189" i="13"/>
  <c r="AA189" i="13"/>
  <c r="Z189" i="13"/>
  <c r="BS189" i="13" s="1"/>
  <c r="H189" i="13" s="1"/>
  <c r="Y189" i="13"/>
  <c r="BT188" i="13"/>
  <c r="BR188" i="13"/>
  <c r="G188" i="13" s="1"/>
  <c r="AA188" i="13"/>
  <c r="Z188" i="13"/>
  <c r="BS188" i="13" s="1"/>
  <c r="H188" i="13" s="1"/>
  <c r="Y188" i="13"/>
  <c r="I188" i="13"/>
  <c r="BS187" i="13"/>
  <c r="H187" i="13" s="1"/>
  <c r="AH187" i="13"/>
  <c r="AF187" i="13"/>
  <c r="AE187" i="13"/>
  <c r="AA187" i="13"/>
  <c r="BT187" i="13" s="1"/>
  <c r="I187" i="13" s="1"/>
  <c r="Z187" i="13"/>
  <c r="Y187" i="13"/>
  <c r="BT186" i="13"/>
  <c r="I186" i="13" s="1"/>
  <c r="BS186" i="13"/>
  <c r="H186" i="13" s="1"/>
  <c r="AA186" i="13"/>
  <c r="Z186" i="13"/>
  <c r="Y186" i="13"/>
  <c r="BR186" i="13" s="1"/>
  <c r="G186" i="13" s="1"/>
  <c r="BT185" i="13"/>
  <c r="I185" i="13" s="1"/>
  <c r="BR185" i="13"/>
  <c r="AA185" i="13"/>
  <c r="Z185" i="13"/>
  <c r="BS185" i="13" s="1"/>
  <c r="H185" i="13" s="1"/>
  <c r="Y185" i="13"/>
  <c r="G185" i="13"/>
  <c r="BT184" i="13"/>
  <c r="I184" i="13" s="1"/>
  <c r="BR184" i="13"/>
  <c r="G184" i="13" s="1"/>
  <c r="AA184" i="13"/>
  <c r="Z184" i="13"/>
  <c r="BS184" i="13" s="1"/>
  <c r="H184" i="13" s="1"/>
  <c r="Y184" i="13"/>
  <c r="AH183" i="13"/>
  <c r="AA183" i="13"/>
  <c r="BT183" i="13" s="1"/>
  <c r="I183" i="13" s="1"/>
  <c r="Z183" i="13"/>
  <c r="BS183" i="13" s="1"/>
  <c r="H183" i="13" s="1"/>
  <c r="Y183" i="13"/>
  <c r="BR183" i="13" s="1"/>
  <c r="G183" i="13" s="1"/>
  <c r="BT182" i="13"/>
  <c r="I182" i="13" s="1"/>
  <c r="BF182" i="13"/>
  <c r="AA182" i="13"/>
  <c r="Z182" i="13"/>
  <c r="BS182" i="13" s="1"/>
  <c r="Y182" i="13"/>
  <c r="BR182" i="13" s="1"/>
  <c r="G182" i="13" s="1"/>
  <c r="H182" i="13"/>
  <c r="BS181" i="13"/>
  <c r="AN181" i="13"/>
  <c r="AA181" i="13"/>
  <c r="BT181" i="13" s="1"/>
  <c r="I181" i="13" s="1"/>
  <c r="Z181" i="13"/>
  <c r="Y181" i="13"/>
  <c r="BR181" i="13" s="1"/>
  <c r="G181" i="13" s="1"/>
  <c r="H181" i="13"/>
  <c r="BS180" i="13"/>
  <c r="H180" i="13" s="1"/>
  <c r="BR180" i="13"/>
  <c r="AA180" i="13"/>
  <c r="BT180" i="13" s="1"/>
  <c r="I180" i="13" s="1"/>
  <c r="Z180" i="13"/>
  <c r="Y180" i="13"/>
  <c r="G180" i="13"/>
  <c r="BT179" i="13"/>
  <c r="I179" i="13" s="1"/>
  <c r="BI179" i="13"/>
  <c r="BF179" i="13"/>
  <c r="AQ179" i="13"/>
  <c r="AN179" i="13"/>
  <c r="BR179" i="13" s="1"/>
  <c r="G179" i="13" s="1"/>
  <c r="AI179" i="13"/>
  <c r="AI203" i="13" s="1"/>
  <c r="AI240" i="13" s="1"/>
  <c r="AH179" i="13"/>
  <c r="AF179" i="13"/>
  <c r="BS179" i="13" s="1"/>
  <c r="H179" i="13" s="1"/>
  <c r="AE179" i="13"/>
  <c r="AA179" i="13"/>
  <c r="Z179" i="13"/>
  <c r="Y179" i="13"/>
  <c r="BS178" i="13"/>
  <c r="H178" i="13" s="1"/>
  <c r="BR178" i="13"/>
  <c r="G178" i="13" s="1"/>
  <c r="BI178" i="13"/>
  <c r="BF178" i="13"/>
  <c r="AQ178" i="13"/>
  <c r="AN178" i="13"/>
  <c r="AH178" i="13"/>
  <c r="AH203" i="13" s="1"/>
  <c r="AH240" i="13" s="1"/>
  <c r="AA178" i="13"/>
  <c r="BT178" i="13" s="1"/>
  <c r="I178" i="13" s="1"/>
  <c r="Z178" i="13"/>
  <c r="Y178" i="13"/>
  <c r="BT177" i="13"/>
  <c r="I177" i="13" s="1"/>
  <c r="BR177" i="13"/>
  <c r="G177" i="13" s="1"/>
  <c r="AN177" i="13"/>
  <c r="AE177" i="13"/>
  <c r="AE203" i="13" s="1"/>
  <c r="AE240" i="13" s="1"/>
  <c r="AA177" i="13"/>
  <c r="Z177" i="13"/>
  <c r="BS177" i="13" s="1"/>
  <c r="H177" i="13" s="1"/>
  <c r="Y177" i="13"/>
  <c r="BT176" i="13"/>
  <c r="I176" i="13" s="1"/>
  <c r="BS176" i="13"/>
  <c r="AA176" i="13"/>
  <c r="Z176" i="13"/>
  <c r="Y176" i="13"/>
  <c r="BR176" i="13" s="1"/>
  <c r="G176" i="13" s="1"/>
  <c r="H176" i="13"/>
  <c r="BI175" i="13"/>
  <c r="BI203" i="13" s="1"/>
  <c r="BF175" i="13"/>
  <c r="AQ175" i="13"/>
  <c r="AQ203" i="13" s="1"/>
  <c r="AQ240" i="13" s="1"/>
  <c r="AN175" i="13"/>
  <c r="AH175" i="13"/>
  <c r="AA175" i="13"/>
  <c r="Z175" i="13"/>
  <c r="Y175" i="13"/>
  <c r="Y203" i="13" s="1"/>
  <c r="BU174" i="13"/>
  <c r="BN174" i="13"/>
  <c r="BM174" i="13"/>
  <c r="BD174" i="13"/>
  <c r="BA174" i="13"/>
  <c r="AX174" i="13"/>
  <c r="AW174" i="13"/>
  <c r="AO174" i="13"/>
  <c r="AG174" i="13"/>
  <c r="AF174" i="13"/>
  <c r="U174" i="13"/>
  <c r="R174" i="13"/>
  <c r="Q174" i="13"/>
  <c r="P174" i="13"/>
  <c r="N174" i="13"/>
  <c r="K174" i="13"/>
  <c r="BW173" i="13"/>
  <c r="BV173" i="13"/>
  <c r="BV174" i="13" s="1"/>
  <c r="BU173" i="13"/>
  <c r="BQ173" i="13"/>
  <c r="BP173" i="13"/>
  <c r="BP174" i="13" s="1"/>
  <c r="BO173" i="13"/>
  <c r="BN173" i="13"/>
  <c r="BM173" i="13"/>
  <c r="BL173" i="13"/>
  <c r="BK173" i="13"/>
  <c r="BJ173" i="13"/>
  <c r="BJ174" i="13" s="1"/>
  <c r="BI173" i="13"/>
  <c r="BH173" i="13"/>
  <c r="BG173" i="13"/>
  <c r="BF173" i="13"/>
  <c r="BE173" i="13"/>
  <c r="BD173" i="13"/>
  <c r="BC173" i="13"/>
  <c r="BB173" i="13"/>
  <c r="BB174" i="13" s="1"/>
  <c r="BA173" i="13"/>
  <c r="AZ173" i="13"/>
  <c r="AY173" i="13"/>
  <c r="AX173" i="13"/>
  <c r="AW173" i="13"/>
  <c r="AV173" i="13"/>
  <c r="AU173" i="13"/>
  <c r="AT173" i="13"/>
  <c r="AS173" i="13"/>
  <c r="AR173" i="13"/>
  <c r="AR174" i="13" s="1"/>
  <c r="AQ173" i="13"/>
  <c r="AP173" i="13"/>
  <c r="AO173" i="13"/>
  <c r="AN173" i="13"/>
  <c r="AM173" i="13"/>
  <c r="AL173" i="13"/>
  <c r="AL174" i="13" s="1"/>
  <c r="AK173" i="13"/>
  <c r="AJ173" i="13"/>
  <c r="AI173" i="13"/>
  <c r="AH173" i="13"/>
  <c r="AG173" i="13"/>
  <c r="AF173" i="13"/>
  <c r="AD173" i="13"/>
  <c r="AC173" i="13"/>
  <c r="AC174" i="13" s="1"/>
  <c r="AB173" i="13"/>
  <c r="X173" i="13"/>
  <c r="W173" i="13"/>
  <c r="V173" i="13"/>
  <c r="U173" i="13"/>
  <c r="T173" i="13"/>
  <c r="S173" i="13"/>
  <c r="R173" i="13"/>
  <c r="Q173" i="13"/>
  <c r="P173" i="13"/>
  <c r="O173" i="13"/>
  <c r="N173" i="13"/>
  <c r="M173" i="13"/>
  <c r="L173" i="13"/>
  <c r="K173" i="13"/>
  <c r="J173" i="13"/>
  <c r="BS172" i="13"/>
  <c r="H172" i="13" s="1"/>
  <c r="AA172" i="13"/>
  <c r="BT172" i="13" s="1"/>
  <c r="I172" i="13" s="1"/>
  <c r="Z172" i="13"/>
  <c r="Y172" i="13"/>
  <c r="BR172" i="13" s="1"/>
  <c r="G172" i="13" s="1"/>
  <c r="AA171" i="13"/>
  <c r="BT171" i="13" s="1"/>
  <c r="Z171" i="13"/>
  <c r="BS171" i="13" s="1"/>
  <c r="H171" i="13" s="1"/>
  <c r="Y171" i="13"/>
  <c r="BR171" i="13" s="1"/>
  <c r="G171" i="13" s="1"/>
  <c r="I171" i="13"/>
  <c r="BT170" i="13"/>
  <c r="BR170" i="13"/>
  <c r="AA170" i="13"/>
  <c r="Z170" i="13"/>
  <c r="BS170" i="13" s="1"/>
  <c r="H170" i="13" s="1"/>
  <c r="Y170" i="13"/>
  <c r="I170" i="13"/>
  <c r="G170" i="13"/>
  <c r="BT169" i="13"/>
  <c r="I169" i="13" s="1"/>
  <c r="BS169" i="13"/>
  <c r="H169" i="13" s="1"/>
  <c r="AA169" i="13"/>
  <c r="Z169" i="13"/>
  <c r="Y169" i="13"/>
  <c r="BR169" i="13" s="1"/>
  <c r="G169" i="13" s="1"/>
  <c r="AE168" i="13"/>
  <c r="BR168" i="13" s="1"/>
  <c r="G168" i="13" s="1"/>
  <c r="AA168" i="13"/>
  <c r="AA173" i="13" s="1"/>
  <c r="Z168" i="13"/>
  <c r="BS168" i="13" s="1"/>
  <c r="H168" i="13" s="1"/>
  <c r="Y168" i="13"/>
  <c r="BR167" i="13"/>
  <c r="AE167" i="13"/>
  <c r="AA167" i="13"/>
  <c r="BT167" i="13" s="1"/>
  <c r="I167" i="13" s="1"/>
  <c r="Z167" i="13"/>
  <c r="BS167" i="13" s="1"/>
  <c r="H167" i="13" s="1"/>
  <c r="Y167" i="13"/>
  <c r="G167" i="13"/>
  <c r="BW166" i="13"/>
  <c r="BV166" i="13"/>
  <c r="BU166" i="13"/>
  <c r="BQ166" i="13"/>
  <c r="BQ174" i="13" s="1"/>
  <c r="BP166" i="13"/>
  <c r="BO166" i="13"/>
  <c r="BO174" i="13" s="1"/>
  <c r="BN166" i="13"/>
  <c r="BM166" i="13"/>
  <c r="BL166" i="13"/>
  <c r="BL174" i="13" s="1"/>
  <c r="BK166" i="13"/>
  <c r="BK174" i="13" s="1"/>
  <c r="BJ166" i="13"/>
  <c r="BI166" i="13"/>
  <c r="BI174" i="13" s="1"/>
  <c r="BH166" i="13"/>
  <c r="BH174" i="13" s="1"/>
  <c r="BG166" i="13"/>
  <c r="BF166" i="13"/>
  <c r="BE166" i="13"/>
  <c r="BE174" i="13" s="1"/>
  <c r="BD166" i="13"/>
  <c r="BC166" i="13"/>
  <c r="BC174" i="13" s="1"/>
  <c r="BB166" i="13"/>
  <c r="BA166" i="13"/>
  <c r="AZ166" i="13"/>
  <c r="AZ174" i="13" s="1"/>
  <c r="AY166" i="13"/>
  <c r="AY174" i="13" s="1"/>
  <c r="AX166" i="13"/>
  <c r="AW166" i="13"/>
  <c r="AV166" i="13"/>
  <c r="AV174" i="13" s="1"/>
  <c r="AU166" i="13"/>
  <c r="AT166" i="13"/>
  <c r="AS166" i="13"/>
  <c r="AS174" i="13" s="1"/>
  <c r="AR166" i="13"/>
  <c r="AQ166" i="13"/>
  <c r="AQ174" i="13" s="1"/>
  <c r="AP166" i="13"/>
  <c r="AP174" i="13" s="1"/>
  <c r="AO166" i="13"/>
  <c r="AN166" i="13"/>
  <c r="AN174" i="13" s="1"/>
  <c r="AM166" i="13"/>
  <c r="AM174" i="13" s="1"/>
  <c r="AL166" i="13"/>
  <c r="AK166" i="13"/>
  <c r="AK174" i="13" s="1"/>
  <c r="AJ166" i="13"/>
  <c r="AJ174" i="13" s="1"/>
  <c r="AI166" i="13"/>
  <c r="AH166" i="13"/>
  <c r="AG166" i="13"/>
  <c r="AF166" i="13"/>
  <c r="AE166" i="13"/>
  <c r="AD166" i="13"/>
  <c r="AD174" i="13" s="1"/>
  <c r="AC166" i="13"/>
  <c r="AB166" i="13"/>
  <c r="AB174" i="13" s="1"/>
  <c r="X166" i="13"/>
  <c r="X174" i="13" s="1"/>
  <c r="W166" i="13"/>
  <c r="W174" i="13" s="1"/>
  <c r="V166" i="13"/>
  <c r="U166" i="13"/>
  <c r="T166" i="13"/>
  <c r="T174" i="13" s="1"/>
  <c r="S166" i="13"/>
  <c r="S174" i="13" s="1"/>
  <c r="R166" i="13"/>
  <c r="Q166" i="13"/>
  <c r="P166" i="13"/>
  <c r="O166" i="13"/>
  <c r="O174" i="13" s="1"/>
  <c r="N166" i="13"/>
  <c r="M166" i="13"/>
  <c r="M174" i="13" s="1"/>
  <c r="L166" i="13"/>
  <c r="L174" i="13" s="1"/>
  <c r="K166" i="13"/>
  <c r="J166" i="13"/>
  <c r="BS165" i="13"/>
  <c r="H165" i="13" s="1"/>
  <c r="AA165" i="13"/>
  <c r="Z165" i="13"/>
  <c r="Y165" i="13"/>
  <c r="BR165" i="13" s="1"/>
  <c r="G165" i="13" s="1"/>
  <c r="BT164" i="13"/>
  <c r="I164" i="13" s="1"/>
  <c r="BR164" i="13"/>
  <c r="AA164" i="13"/>
  <c r="Z164" i="13"/>
  <c r="BS164" i="13" s="1"/>
  <c r="H164" i="13" s="1"/>
  <c r="Y164" i="13"/>
  <c r="G164" i="13"/>
  <c r="BS163" i="13"/>
  <c r="H163" i="13" s="1"/>
  <c r="AA163" i="13"/>
  <c r="BT163" i="13" s="1"/>
  <c r="I163" i="13" s="1"/>
  <c r="Z163" i="13"/>
  <c r="Y163" i="13"/>
  <c r="BR163" i="13" s="1"/>
  <c r="G163" i="13" s="1"/>
  <c r="BT162" i="13"/>
  <c r="I162" i="13" s="1"/>
  <c r="AA162" i="13"/>
  <c r="Z162" i="13"/>
  <c r="BS162" i="13" s="1"/>
  <c r="H162" i="13" s="1"/>
  <c r="Y162" i="13"/>
  <c r="BR162" i="13" s="1"/>
  <c r="G162" i="13" s="1"/>
  <c r="BT161" i="13"/>
  <c r="I161" i="13" s="1"/>
  <c r="BS161" i="13"/>
  <c r="H161" i="13" s="1"/>
  <c r="BR161" i="13"/>
  <c r="AA161" i="13"/>
  <c r="Z161" i="13"/>
  <c r="Y161" i="13"/>
  <c r="Y166" i="13" s="1"/>
  <c r="G161" i="13"/>
  <c r="BT160" i="13"/>
  <c r="I160" i="13" s="1"/>
  <c r="BR160" i="13"/>
  <c r="BR166" i="13" s="1"/>
  <c r="AA160" i="13"/>
  <c r="Z160" i="13"/>
  <c r="Y160" i="13"/>
  <c r="BW159" i="13"/>
  <c r="BV159" i="13"/>
  <c r="BU159" i="13"/>
  <c r="BQ159" i="13"/>
  <c r="BP159" i="13"/>
  <c r="BO159" i="13"/>
  <c r="BJ159" i="13"/>
  <c r="BH159" i="13"/>
  <c r="BF159" i="13"/>
  <c r="BE159" i="13"/>
  <c r="BD159" i="13"/>
  <c r="BB159" i="13"/>
  <c r="BA159" i="13"/>
  <c r="AV159" i="13"/>
  <c r="AU159" i="13"/>
  <c r="AL159" i="13"/>
  <c r="AD159" i="13"/>
  <c r="AC159" i="13"/>
  <c r="AB159" i="13"/>
  <c r="X159" i="13"/>
  <c r="W159" i="13"/>
  <c r="V159" i="13"/>
  <c r="U159" i="13"/>
  <c r="T159" i="13"/>
  <c r="S159" i="13"/>
  <c r="R159" i="13"/>
  <c r="Q159" i="13"/>
  <c r="P159" i="13"/>
  <c r="O159" i="13"/>
  <c r="N159" i="13"/>
  <c r="M159" i="13"/>
  <c r="L159" i="13"/>
  <c r="BT158" i="13"/>
  <c r="I158" i="13" s="1"/>
  <c r="BR158" i="13"/>
  <c r="G158" i="13" s="1"/>
  <c r="AA158" i="13"/>
  <c r="Z158" i="13"/>
  <c r="BS158" i="13" s="1"/>
  <c r="H158" i="13" s="1"/>
  <c r="Y158" i="13"/>
  <c r="BS157" i="13"/>
  <c r="H157" i="13" s="1"/>
  <c r="BK157" i="13"/>
  <c r="BK159" i="13" s="1"/>
  <c r="BJ157" i="13"/>
  <c r="BI157" i="13"/>
  <c r="BR157" i="13" s="1"/>
  <c r="G157" i="13" s="1"/>
  <c r="BH157" i="13"/>
  <c r="BG157" i="13"/>
  <c r="BG159" i="13" s="1"/>
  <c r="BF157" i="13"/>
  <c r="AA157" i="13"/>
  <c r="BT157" i="13" s="1"/>
  <c r="I157" i="13" s="1"/>
  <c r="Z157" i="13"/>
  <c r="Y157" i="13"/>
  <c r="K157" i="13"/>
  <c r="J157" i="13"/>
  <c r="BT156" i="13"/>
  <c r="I156" i="13" s="1"/>
  <c r="BR156" i="13"/>
  <c r="G156" i="13" s="1"/>
  <c r="AA156" i="13"/>
  <c r="Z156" i="13"/>
  <c r="BS156" i="13" s="1"/>
  <c r="H156" i="13" s="1"/>
  <c r="Y156" i="13"/>
  <c r="BT155" i="13"/>
  <c r="BO155" i="13"/>
  <c r="AA155" i="13"/>
  <c r="Z155" i="13"/>
  <c r="BS155" i="13" s="1"/>
  <c r="H155" i="13" s="1"/>
  <c r="Y155" i="13"/>
  <c r="I155" i="13"/>
  <c r="BT154" i="13"/>
  <c r="I154" i="13" s="1"/>
  <c r="BS154" i="13"/>
  <c r="H154" i="13" s="1"/>
  <c r="BR154" i="13"/>
  <c r="AA154" i="13"/>
  <c r="Z154" i="13"/>
  <c r="Y154" i="13"/>
  <c r="G154" i="13"/>
  <c r="BT153" i="13"/>
  <c r="I153" i="13" s="1"/>
  <c r="BR153" i="13"/>
  <c r="G153" i="13" s="1"/>
  <c r="AA153" i="13"/>
  <c r="Z153" i="13"/>
  <c r="BS153" i="13" s="1"/>
  <c r="H153" i="13" s="1"/>
  <c r="Y153" i="13"/>
  <c r="AA152" i="13"/>
  <c r="BT152" i="13" s="1"/>
  <c r="Z152" i="13"/>
  <c r="BS152" i="13" s="1"/>
  <c r="H152" i="13" s="1"/>
  <c r="Y152" i="13"/>
  <c r="BR152" i="13" s="1"/>
  <c r="G152" i="13" s="1"/>
  <c r="I152" i="13"/>
  <c r="BT151" i="13"/>
  <c r="I151" i="13" s="1"/>
  <c r="BF151" i="13"/>
  <c r="AW151" i="13"/>
  <c r="AP151" i="13"/>
  <c r="AO151" i="13"/>
  <c r="AN151" i="13"/>
  <c r="AK151" i="13"/>
  <c r="AK159" i="13" s="1"/>
  <c r="AH151" i="13"/>
  <c r="AA151" i="13"/>
  <c r="Z151" i="13"/>
  <c r="Y151" i="13"/>
  <c r="BS150" i="13"/>
  <c r="BR150" i="13"/>
  <c r="AA150" i="13"/>
  <c r="BT150" i="13" s="1"/>
  <c r="I150" i="13" s="1"/>
  <c r="Z150" i="13"/>
  <c r="Y150" i="13"/>
  <c r="H150" i="13"/>
  <c r="G150" i="13"/>
  <c r="AA149" i="13"/>
  <c r="BT149" i="13" s="1"/>
  <c r="Z149" i="13"/>
  <c r="BS149" i="13" s="1"/>
  <c r="H149" i="13" s="1"/>
  <c r="Y149" i="13"/>
  <c r="BR149" i="13" s="1"/>
  <c r="I149" i="13"/>
  <c r="G149" i="13"/>
  <c r="BR148" i="13"/>
  <c r="AY148" i="13"/>
  <c r="AX148" i="13"/>
  <c r="AW148" i="13"/>
  <c r="AQ148" i="13"/>
  <c r="AP148" i="13"/>
  <c r="BT148" i="13" s="1"/>
  <c r="I148" i="13" s="1"/>
  <c r="AO148" i="13"/>
  <c r="BS148" i="13" s="1"/>
  <c r="H148" i="13" s="1"/>
  <c r="AN148" i="13"/>
  <c r="AH148" i="13"/>
  <c r="AA148" i="13"/>
  <c r="Z148" i="13"/>
  <c r="Y148" i="13"/>
  <c r="G148" i="13"/>
  <c r="BL147" i="13"/>
  <c r="AN147" i="13"/>
  <c r="AA147" i="13"/>
  <c r="BT147" i="13" s="1"/>
  <c r="Z147" i="13"/>
  <c r="BS147" i="13" s="1"/>
  <c r="H147" i="13" s="1"/>
  <c r="J147" i="13"/>
  <c r="Y147" i="13" s="1"/>
  <c r="I147" i="13"/>
  <c r="BS146" i="13"/>
  <c r="H146" i="13" s="1"/>
  <c r="AJ146" i="13"/>
  <c r="AI146" i="13"/>
  <c r="AH146" i="13"/>
  <c r="AA146" i="13"/>
  <c r="Z146" i="13"/>
  <c r="Y146" i="13"/>
  <c r="BR146" i="13" s="1"/>
  <c r="G146" i="13" s="1"/>
  <c r="AA145" i="13"/>
  <c r="BT145" i="13" s="1"/>
  <c r="I145" i="13" s="1"/>
  <c r="Z145" i="13"/>
  <c r="BS145" i="13" s="1"/>
  <c r="H145" i="13" s="1"/>
  <c r="Y145" i="13"/>
  <c r="BR145" i="13" s="1"/>
  <c r="G145" i="13" s="1"/>
  <c r="BT144" i="13"/>
  <c r="I144" i="13" s="1"/>
  <c r="BR144" i="13"/>
  <c r="AA144" i="13"/>
  <c r="Z144" i="13"/>
  <c r="BS144" i="13" s="1"/>
  <c r="Y144" i="13"/>
  <c r="H144" i="13"/>
  <c r="G144" i="13"/>
  <c r="BS143" i="13"/>
  <c r="H143" i="13" s="1"/>
  <c r="AA143" i="13"/>
  <c r="BT143" i="13" s="1"/>
  <c r="I143" i="13" s="1"/>
  <c r="Z143" i="13"/>
  <c r="Y143" i="13"/>
  <c r="BR143" i="13" s="1"/>
  <c r="G143" i="13" s="1"/>
  <c r="AX142" i="13"/>
  <c r="AW142" i="13"/>
  <c r="AM142" i="13"/>
  <c r="AM159" i="13" s="1"/>
  <c r="AL142" i="13"/>
  <c r="AK142" i="13"/>
  <c r="AA142" i="13"/>
  <c r="Y142" i="13"/>
  <c r="BR142" i="13" s="1"/>
  <c r="G142" i="13" s="1"/>
  <c r="L142" i="13"/>
  <c r="K142" i="13"/>
  <c r="Z142" i="13" s="1"/>
  <c r="J142" i="13"/>
  <c r="J159" i="13" s="1"/>
  <c r="BT141" i="13"/>
  <c r="BS141" i="13"/>
  <c r="H141" i="13" s="1"/>
  <c r="AA141" i="13"/>
  <c r="Z141" i="13"/>
  <c r="Y141" i="13"/>
  <c r="BR141" i="13" s="1"/>
  <c r="I141" i="13"/>
  <c r="G141" i="13"/>
  <c r="BT140" i="13"/>
  <c r="I140" i="13" s="1"/>
  <c r="BS140" i="13"/>
  <c r="AT140" i="13"/>
  <c r="BR140" i="13" s="1"/>
  <c r="G140" i="13" s="1"/>
  <c r="AA140" i="13"/>
  <c r="Z140" i="13"/>
  <c r="Y140" i="13"/>
  <c r="H140" i="13"/>
  <c r="BT139" i="13"/>
  <c r="BS139" i="13"/>
  <c r="H139" i="13" s="1"/>
  <c r="AA139" i="13"/>
  <c r="Z139" i="13"/>
  <c r="Y139" i="13"/>
  <c r="BR139" i="13" s="1"/>
  <c r="G139" i="13" s="1"/>
  <c r="I139" i="13"/>
  <c r="BS138" i="13"/>
  <c r="AA138" i="13"/>
  <c r="BT138" i="13" s="1"/>
  <c r="I138" i="13" s="1"/>
  <c r="Z138" i="13"/>
  <c r="Y138" i="13"/>
  <c r="BR138" i="13" s="1"/>
  <c r="G138" i="13" s="1"/>
  <c r="H138" i="13"/>
  <c r="BR137" i="13"/>
  <c r="G137" i="13" s="1"/>
  <c r="BM137" i="13"/>
  <c r="AQ137" i="13"/>
  <c r="AH137" i="13"/>
  <c r="AA137" i="13"/>
  <c r="BT137" i="13" s="1"/>
  <c r="I137" i="13" s="1"/>
  <c r="Z137" i="13"/>
  <c r="BS137" i="13" s="1"/>
  <c r="H137" i="13" s="1"/>
  <c r="Y137" i="13"/>
  <c r="BT136" i="13"/>
  <c r="AW136" i="13"/>
  <c r="AT136" i="13"/>
  <c r="BR136" i="13" s="1"/>
  <c r="AA136" i="13"/>
  <c r="Z136" i="13"/>
  <c r="BS136" i="13" s="1"/>
  <c r="H136" i="13" s="1"/>
  <c r="Y136" i="13"/>
  <c r="I136" i="13"/>
  <c r="G136" i="13"/>
  <c r="BS135" i="13"/>
  <c r="H135" i="13" s="1"/>
  <c r="AA135" i="13"/>
  <c r="BT135" i="13" s="1"/>
  <c r="Z135" i="13"/>
  <c r="Y135" i="13"/>
  <c r="BR135" i="13" s="1"/>
  <c r="G135" i="13" s="1"/>
  <c r="I135" i="13"/>
  <c r="BS134" i="13"/>
  <c r="H134" i="13" s="1"/>
  <c r="BR134" i="13"/>
  <c r="G134" i="13" s="1"/>
  <c r="AA134" i="13"/>
  <c r="BT134" i="13" s="1"/>
  <c r="I134" i="13" s="1"/>
  <c r="Z134" i="13"/>
  <c r="Y134" i="13"/>
  <c r="BT133" i="13"/>
  <c r="BS133" i="13"/>
  <c r="H133" i="13" s="1"/>
  <c r="AQ133" i="13"/>
  <c r="BR133" i="13" s="1"/>
  <c r="G133" i="13" s="1"/>
  <c r="AA133" i="13"/>
  <c r="Z133" i="13"/>
  <c r="Y133" i="13"/>
  <c r="I133" i="13"/>
  <c r="AA132" i="13"/>
  <c r="BT132" i="13" s="1"/>
  <c r="Z132" i="13"/>
  <c r="BS132" i="13" s="1"/>
  <c r="H132" i="13" s="1"/>
  <c r="Y132" i="13"/>
  <c r="BR132" i="13" s="1"/>
  <c r="G132" i="13" s="1"/>
  <c r="I132" i="13"/>
  <c r="BN131" i="13"/>
  <c r="BM131" i="13"/>
  <c r="BL131" i="13"/>
  <c r="BL159" i="13" s="1"/>
  <c r="AG131" i="13"/>
  <c r="AF131" i="13"/>
  <c r="AE131" i="13"/>
  <c r="BR131" i="13" s="1"/>
  <c r="G131" i="13" s="1"/>
  <c r="AA131" i="13"/>
  <c r="BT131" i="13" s="1"/>
  <c r="I131" i="13" s="1"/>
  <c r="Z131" i="13"/>
  <c r="Y131" i="13"/>
  <c r="AJ130" i="13"/>
  <c r="BT130" i="13" s="1"/>
  <c r="AI130" i="13"/>
  <c r="AH130" i="13"/>
  <c r="AA130" i="13"/>
  <c r="Z130" i="13"/>
  <c r="Y130" i="13"/>
  <c r="BR130" i="13" s="1"/>
  <c r="G130" i="13" s="1"/>
  <c r="I130" i="13"/>
  <c r="BR129" i="13"/>
  <c r="G129" i="13" s="1"/>
  <c r="AA129" i="13"/>
  <c r="BT129" i="13" s="1"/>
  <c r="Z129" i="13"/>
  <c r="BS129" i="13" s="1"/>
  <c r="H129" i="13" s="1"/>
  <c r="Y129" i="13"/>
  <c r="I129" i="13"/>
  <c r="AY128" i="13"/>
  <c r="AY159" i="13" s="1"/>
  <c r="AX128" i="13"/>
  <c r="AX159" i="13" s="1"/>
  <c r="AW128" i="13"/>
  <c r="AP128" i="13"/>
  <c r="AP159" i="13" s="1"/>
  <c r="AO128" i="13"/>
  <c r="AN128" i="13"/>
  <c r="BR128" i="13" s="1"/>
  <c r="G128" i="13" s="1"/>
  <c r="AB128" i="13"/>
  <c r="AA128" i="13"/>
  <c r="Z128" i="13"/>
  <c r="Y128" i="13"/>
  <c r="BT127" i="13"/>
  <c r="BR127" i="13"/>
  <c r="G127" i="13" s="1"/>
  <c r="AA127" i="13"/>
  <c r="Z127" i="13"/>
  <c r="BS127" i="13" s="1"/>
  <c r="H127" i="13" s="1"/>
  <c r="Y127" i="13"/>
  <c r="I127" i="13"/>
  <c r="BS126" i="13"/>
  <c r="BC126" i="13"/>
  <c r="AE126" i="13"/>
  <c r="AA126" i="13"/>
  <c r="BT126" i="13" s="1"/>
  <c r="I126" i="13" s="1"/>
  <c r="Z126" i="13"/>
  <c r="Y126" i="13"/>
  <c r="H126" i="13"/>
  <c r="BS125" i="13"/>
  <c r="H125" i="13" s="1"/>
  <c r="BR125" i="13"/>
  <c r="G125" i="13" s="1"/>
  <c r="AA125" i="13"/>
  <c r="BT125" i="13" s="1"/>
  <c r="Z125" i="13"/>
  <c r="Y125" i="13"/>
  <c r="I125" i="13"/>
  <c r="BT124" i="13"/>
  <c r="AA124" i="13"/>
  <c r="Z124" i="13"/>
  <c r="BS124" i="13" s="1"/>
  <c r="H124" i="13" s="1"/>
  <c r="Y124" i="13"/>
  <c r="BR124" i="13" s="1"/>
  <c r="G124" i="13" s="1"/>
  <c r="I124" i="13"/>
  <c r="BT123" i="13"/>
  <c r="I123" i="13" s="1"/>
  <c r="BR123" i="13"/>
  <c r="G123" i="13" s="1"/>
  <c r="AZ123" i="13"/>
  <c r="AZ159" i="13" s="1"/>
  <c r="AJ123" i="13"/>
  <c r="AJ159" i="13" s="1"/>
  <c r="AI123" i="13"/>
  <c r="BS123" i="13" s="1"/>
  <c r="AH123" i="13"/>
  <c r="AG123" i="13"/>
  <c r="AA123" i="13"/>
  <c r="Z123" i="13"/>
  <c r="Y123" i="13"/>
  <c r="H123" i="13"/>
  <c r="BT122" i="13"/>
  <c r="I122" i="13" s="1"/>
  <c r="BS122" i="13"/>
  <c r="AA122" i="13"/>
  <c r="Z122" i="13"/>
  <c r="Y122" i="13"/>
  <c r="BR122" i="13" s="1"/>
  <c r="G122" i="13" s="1"/>
  <c r="H122" i="13"/>
  <c r="BS121" i="13"/>
  <c r="H121" i="13" s="1"/>
  <c r="AA121" i="13"/>
  <c r="BT121" i="13" s="1"/>
  <c r="I121" i="13" s="1"/>
  <c r="Z121" i="13"/>
  <c r="Y121" i="13"/>
  <c r="BR121" i="13" s="1"/>
  <c r="G121" i="13" s="1"/>
  <c r="BT120" i="13"/>
  <c r="I120" i="13" s="1"/>
  <c r="BR120" i="13"/>
  <c r="AA120" i="13"/>
  <c r="Z120" i="13"/>
  <c r="BS120" i="13" s="1"/>
  <c r="H120" i="13" s="1"/>
  <c r="Y120" i="13"/>
  <c r="G120" i="13"/>
  <c r="AA119" i="13"/>
  <c r="BT119" i="13" s="1"/>
  <c r="I119" i="13" s="1"/>
  <c r="Z119" i="13"/>
  <c r="BS119" i="13" s="1"/>
  <c r="H119" i="13" s="1"/>
  <c r="Y119" i="13"/>
  <c r="BR119" i="13" s="1"/>
  <c r="G119" i="13" s="1"/>
  <c r="BT118" i="13"/>
  <c r="I118" i="13" s="1"/>
  <c r="BS118" i="13"/>
  <c r="BR118" i="13"/>
  <c r="G118" i="13" s="1"/>
  <c r="AA118" i="13"/>
  <c r="Z118" i="13"/>
  <c r="Y118" i="13"/>
  <c r="H118" i="13"/>
  <c r="BS117" i="13"/>
  <c r="H117" i="13" s="1"/>
  <c r="BR117" i="13"/>
  <c r="BN117" i="13"/>
  <c r="BM117" i="13"/>
  <c r="AA117" i="13"/>
  <c r="Z117" i="13"/>
  <c r="Y117" i="13"/>
  <c r="G117" i="13"/>
  <c r="BT116" i="13"/>
  <c r="I116" i="13" s="1"/>
  <c r="BS116" i="13"/>
  <c r="H116" i="13" s="1"/>
  <c r="BR116" i="13"/>
  <c r="G116" i="13" s="1"/>
  <c r="BO116" i="13"/>
  <c r="AW116" i="13"/>
  <c r="AQ116" i="13"/>
  <c r="AE116" i="13"/>
  <c r="AE159" i="13" s="1"/>
  <c r="AA116" i="13"/>
  <c r="Z116" i="13"/>
  <c r="Y116" i="13"/>
  <c r="BS115" i="13"/>
  <c r="H115" i="13" s="1"/>
  <c r="AA115" i="13"/>
  <c r="BT115" i="13" s="1"/>
  <c r="I115" i="13" s="1"/>
  <c r="Z115" i="13"/>
  <c r="Y115" i="13"/>
  <c r="BR115" i="13" s="1"/>
  <c r="G115" i="13" s="1"/>
  <c r="BT114" i="13"/>
  <c r="I114" i="13" s="1"/>
  <c r="BR114" i="13"/>
  <c r="G114" i="13" s="1"/>
  <c r="AG114" i="13"/>
  <c r="AF114" i="13"/>
  <c r="BS114" i="13" s="1"/>
  <c r="H114" i="13" s="1"/>
  <c r="AE114" i="13"/>
  <c r="AA114" i="13"/>
  <c r="Z114" i="13"/>
  <c r="Y114" i="13"/>
  <c r="BT113" i="13"/>
  <c r="I113" i="13" s="1"/>
  <c r="BR113" i="13"/>
  <c r="G113" i="13" s="1"/>
  <c r="AA113" i="13"/>
  <c r="Z113" i="13"/>
  <c r="BS113" i="13" s="1"/>
  <c r="H113" i="13" s="1"/>
  <c r="Y113" i="13"/>
  <c r="BR112" i="13"/>
  <c r="G112" i="13" s="1"/>
  <c r="AQ112" i="13"/>
  <c r="AI112" i="13"/>
  <c r="AI159" i="13" s="1"/>
  <c r="AH112" i="13"/>
  <c r="AG112" i="13"/>
  <c r="AF112" i="13"/>
  <c r="AE112" i="13"/>
  <c r="AA112" i="13"/>
  <c r="BT112" i="13" s="1"/>
  <c r="I112" i="13" s="1"/>
  <c r="Z112" i="13"/>
  <c r="Y112" i="13"/>
  <c r="BR111" i="13"/>
  <c r="G111" i="13" s="1"/>
  <c r="BI111" i="13"/>
  <c r="BC111" i="13"/>
  <c r="AW111" i="13"/>
  <c r="AT111" i="13"/>
  <c r="AS111" i="13"/>
  <c r="AR111" i="13"/>
  <c r="BS111" i="13" s="1"/>
  <c r="H111" i="13" s="1"/>
  <c r="AQ111" i="13"/>
  <c r="AN111" i="13"/>
  <c r="AA111" i="13"/>
  <c r="BT111" i="13" s="1"/>
  <c r="I111" i="13" s="1"/>
  <c r="Z111" i="13"/>
  <c r="Y111" i="13"/>
  <c r="BR110" i="13"/>
  <c r="AA110" i="13"/>
  <c r="BT110" i="13" s="1"/>
  <c r="Z110" i="13"/>
  <c r="BS110" i="13" s="1"/>
  <c r="H110" i="13" s="1"/>
  <c r="Y110" i="13"/>
  <c r="I110" i="13"/>
  <c r="G110" i="13"/>
  <c r="BT109" i="13"/>
  <c r="BN109" i="13"/>
  <c r="BN159" i="13" s="1"/>
  <c r="BM109" i="13"/>
  <c r="BL109" i="13"/>
  <c r="BI109" i="13"/>
  <c r="BI159" i="13" s="1"/>
  <c r="BC109" i="13"/>
  <c r="AW109" i="13"/>
  <c r="AW159" i="13" s="1"/>
  <c r="AT109" i="13"/>
  <c r="AT159" i="13" s="1"/>
  <c r="AS109" i="13"/>
  <c r="AS159" i="13" s="1"/>
  <c r="AR109" i="13"/>
  <c r="AQ109" i="13"/>
  <c r="AQ159" i="13" s="1"/>
  <c r="AN109" i="13"/>
  <c r="AN159" i="13" s="1"/>
  <c r="AH109" i="13"/>
  <c r="AA109" i="13"/>
  <c r="Z109" i="13"/>
  <c r="Y109" i="13"/>
  <c r="BW108" i="13"/>
  <c r="BV108" i="13"/>
  <c r="BU108" i="13"/>
  <c r="BQ108" i="13"/>
  <c r="BP108" i="13"/>
  <c r="BO108" i="13"/>
  <c r="BN108" i="13"/>
  <c r="BM108" i="13"/>
  <c r="BL108" i="13"/>
  <c r="BK108" i="13"/>
  <c r="BJ108" i="13"/>
  <c r="BI108" i="13"/>
  <c r="BH108" i="13"/>
  <c r="BG108" i="13"/>
  <c r="BF108" i="13"/>
  <c r="BE108" i="13"/>
  <c r="BD108" i="13"/>
  <c r="BC108" i="13"/>
  <c r="BB108" i="13"/>
  <c r="BA108" i="13"/>
  <c r="AZ108" i="13"/>
  <c r="AY108" i="13"/>
  <c r="AX108" i="13"/>
  <c r="AW108" i="13"/>
  <c r="AV108" i="13"/>
  <c r="AU108" i="13"/>
  <c r="AT108" i="13"/>
  <c r="AS108" i="13"/>
  <c r="AR108" i="13"/>
  <c r="AQ108" i="13"/>
  <c r="AP108" i="13"/>
  <c r="AO108" i="13"/>
  <c r="AN108" i="13"/>
  <c r="AM108" i="13"/>
  <c r="AL108" i="13"/>
  <c r="AK108" i="13"/>
  <c r="AH108" i="13"/>
  <c r="AG108" i="13"/>
  <c r="AF108" i="13"/>
  <c r="AE108" i="13"/>
  <c r="AD108" i="13"/>
  <c r="AC108" i="13"/>
  <c r="AB108" i="13"/>
  <c r="X108" i="13"/>
  <c r="W108" i="13"/>
  <c r="V108" i="13"/>
  <c r="U108" i="13"/>
  <c r="T108" i="13"/>
  <c r="S108" i="13"/>
  <c r="R108" i="13"/>
  <c r="Q108" i="13"/>
  <c r="P108" i="13"/>
  <c r="O108" i="13"/>
  <c r="N108" i="13"/>
  <c r="M108" i="13"/>
  <c r="L108" i="13"/>
  <c r="K108" i="13"/>
  <c r="J108" i="13"/>
  <c r="BS107" i="13"/>
  <c r="H107" i="13" s="1"/>
  <c r="AA107" i="13"/>
  <c r="BT107" i="13" s="1"/>
  <c r="I107" i="13" s="1"/>
  <c r="Z107" i="13"/>
  <c r="Y107" i="13"/>
  <c r="BR107" i="13" s="1"/>
  <c r="G107" i="13"/>
  <c r="BS106" i="13"/>
  <c r="H106" i="13" s="1"/>
  <c r="AA106" i="13"/>
  <c r="BT106" i="13" s="1"/>
  <c r="Z106" i="13"/>
  <c r="Y106" i="13"/>
  <c r="BR106" i="13" s="1"/>
  <c r="G106" i="13" s="1"/>
  <c r="I106" i="13"/>
  <c r="BT105" i="13"/>
  <c r="BR105" i="13"/>
  <c r="G105" i="13" s="1"/>
  <c r="AA105" i="13"/>
  <c r="Z105" i="13"/>
  <c r="BS105" i="13" s="1"/>
  <c r="H105" i="13" s="1"/>
  <c r="Y105" i="13"/>
  <c r="I105" i="13"/>
  <c r="BT104" i="13"/>
  <c r="I104" i="13" s="1"/>
  <c r="BS104" i="13"/>
  <c r="H104" i="13" s="1"/>
  <c r="AA104" i="13"/>
  <c r="Z104" i="13"/>
  <c r="Y104" i="13"/>
  <c r="BR104" i="13" s="1"/>
  <c r="G104" i="13" s="1"/>
  <c r="BS103" i="13"/>
  <c r="H103" i="13" s="1"/>
  <c r="AA103" i="13"/>
  <c r="BT103" i="13" s="1"/>
  <c r="I103" i="13" s="1"/>
  <c r="Z103" i="13"/>
  <c r="Y103" i="13"/>
  <c r="BR103" i="13" s="1"/>
  <c r="G103" i="13" s="1"/>
  <c r="BS102" i="13"/>
  <c r="AA102" i="13"/>
  <c r="BT102" i="13" s="1"/>
  <c r="Z102" i="13"/>
  <c r="Y102" i="13"/>
  <c r="BR102" i="13" s="1"/>
  <c r="I102" i="13"/>
  <c r="H102" i="13"/>
  <c r="G102" i="13"/>
  <c r="BT101" i="13"/>
  <c r="I101" i="13" s="1"/>
  <c r="BS101" i="13"/>
  <c r="H101" i="13" s="1"/>
  <c r="BR101" i="13"/>
  <c r="G101" i="13" s="1"/>
  <c r="AA101" i="13"/>
  <c r="Z101" i="13"/>
  <c r="Y101" i="13"/>
  <c r="BR100" i="13"/>
  <c r="G100" i="13" s="1"/>
  <c r="AA100" i="13"/>
  <c r="BT100" i="13" s="1"/>
  <c r="I100" i="13" s="1"/>
  <c r="Z100" i="13"/>
  <c r="BS100" i="13" s="1"/>
  <c r="H100" i="13" s="1"/>
  <c r="Y100" i="13"/>
  <c r="BS99" i="13"/>
  <c r="H99" i="13" s="1"/>
  <c r="AA99" i="13"/>
  <c r="BT99" i="13" s="1"/>
  <c r="I99" i="13" s="1"/>
  <c r="Z99" i="13"/>
  <c r="Y99" i="13"/>
  <c r="BR99" i="13" s="1"/>
  <c r="G99" i="13"/>
  <c r="BS98" i="13"/>
  <c r="H98" i="13" s="1"/>
  <c r="AJ98" i="13"/>
  <c r="AI98" i="13"/>
  <c r="AI108" i="13" s="1"/>
  <c r="AH98" i="13"/>
  <c r="BR98" i="13" s="1"/>
  <c r="G98" i="13" s="1"/>
  <c r="AA98" i="13"/>
  <c r="Z98" i="13"/>
  <c r="Y98" i="13"/>
  <c r="AA97" i="13"/>
  <c r="BT97" i="13" s="1"/>
  <c r="I97" i="13" s="1"/>
  <c r="Z97" i="13"/>
  <c r="BS97" i="13" s="1"/>
  <c r="H97" i="13" s="1"/>
  <c r="Y97" i="13"/>
  <c r="BR97" i="13" s="1"/>
  <c r="G97" i="13"/>
  <c r="BT96" i="13"/>
  <c r="BS96" i="13"/>
  <c r="BR96" i="13"/>
  <c r="G96" i="13" s="1"/>
  <c r="AA96" i="13"/>
  <c r="Z96" i="13"/>
  <c r="Y96" i="13"/>
  <c r="I96" i="13"/>
  <c r="H96" i="13"/>
  <c r="BS95" i="13"/>
  <c r="H95" i="13" s="1"/>
  <c r="BR95" i="13"/>
  <c r="G95" i="13" s="1"/>
  <c r="AA95" i="13"/>
  <c r="BT95" i="13" s="1"/>
  <c r="I95" i="13" s="1"/>
  <c r="Z95" i="13"/>
  <c r="Y95" i="13"/>
  <c r="BT94" i="13"/>
  <c r="AA94" i="13"/>
  <c r="Z94" i="13"/>
  <c r="BS94" i="13" s="1"/>
  <c r="H94" i="13" s="1"/>
  <c r="Y94" i="13"/>
  <c r="BR94" i="13" s="1"/>
  <c r="G94" i="13" s="1"/>
  <c r="I94" i="13"/>
  <c r="AA93" i="13"/>
  <c r="BT93" i="13" s="1"/>
  <c r="Z93" i="13"/>
  <c r="BS93" i="13" s="1"/>
  <c r="H93" i="13" s="1"/>
  <c r="Y93" i="13"/>
  <c r="BR93" i="13" s="1"/>
  <c r="I93" i="13"/>
  <c r="G93" i="13"/>
  <c r="BT92" i="13"/>
  <c r="I92" i="13" s="1"/>
  <c r="BS92" i="13"/>
  <c r="H92" i="13" s="1"/>
  <c r="BR92" i="13"/>
  <c r="G92" i="13" s="1"/>
  <c r="AA92" i="13"/>
  <c r="Z92" i="13"/>
  <c r="Y92" i="13"/>
  <c r="AA91" i="13"/>
  <c r="BT91" i="13" s="1"/>
  <c r="I91" i="13" s="1"/>
  <c r="Z91" i="13"/>
  <c r="BS91" i="13" s="1"/>
  <c r="H91" i="13" s="1"/>
  <c r="Y91" i="13"/>
  <c r="BR91" i="13" s="1"/>
  <c r="G91" i="13" s="1"/>
  <c r="BT90" i="13"/>
  <c r="I90" i="13" s="1"/>
  <c r="BS90" i="13"/>
  <c r="H90" i="13" s="1"/>
  <c r="AA90" i="13"/>
  <c r="Z90" i="13"/>
  <c r="Y90" i="13"/>
  <c r="BR90" i="13" s="1"/>
  <c r="G90" i="13" s="1"/>
  <c r="BR89" i="13"/>
  <c r="AA89" i="13"/>
  <c r="BT89" i="13" s="1"/>
  <c r="I89" i="13" s="1"/>
  <c r="Z89" i="13"/>
  <c r="BS89" i="13" s="1"/>
  <c r="H89" i="13" s="1"/>
  <c r="Y89" i="13"/>
  <c r="G89" i="13"/>
  <c r="BT88" i="13"/>
  <c r="BR88" i="13"/>
  <c r="G88" i="13" s="1"/>
  <c r="AA88" i="13"/>
  <c r="Z88" i="13"/>
  <c r="BS88" i="13" s="1"/>
  <c r="H88" i="13" s="1"/>
  <c r="Y88" i="13"/>
  <c r="I88" i="13"/>
  <c r="BT87" i="13"/>
  <c r="I87" i="13" s="1"/>
  <c r="BS87" i="13"/>
  <c r="H87" i="13" s="1"/>
  <c r="BR87" i="13"/>
  <c r="G87" i="13" s="1"/>
  <c r="AA87" i="13"/>
  <c r="Z87" i="13"/>
  <c r="Y87" i="13"/>
  <c r="AA86" i="13"/>
  <c r="BT86" i="13" s="1"/>
  <c r="I86" i="13" s="1"/>
  <c r="Z86" i="13"/>
  <c r="BS86" i="13" s="1"/>
  <c r="H86" i="13" s="1"/>
  <c r="Y86" i="13"/>
  <c r="BR86" i="13" s="1"/>
  <c r="G86" i="13"/>
  <c r="BR85" i="13"/>
  <c r="AA85" i="13"/>
  <c r="BT85" i="13" s="1"/>
  <c r="I85" i="13" s="1"/>
  <c r="Z85" i="13"/>
  <c r="BS85" i="13" s="1"/>
  <c r="H85" i="13" s="1"/>
  <c r="Y85" i="13"/>
  <c r="G85" i="13"/>
  <c r="BT84" i="13"/>
  <c r="I84" i="13" s="1"/>
  <c r="BS84" i="13"/>
  <c r="H84" i="13" s="1"/>
  <c r="BR84" i="13"/>
  <c r="G84" i="13" s="1"/>
  <c r="AA84" i="13"/>
  <c r="Z84" i="13"/>
  <c r="Y84" i="13"/>
  <c r="BR83" i="13"/>
  <c r="G83" i="13" s="1"/>
  <c r="AA83" i="13"/>
  <c r="BT83" i="13" s="1"/>
  <c r="I83" i="13" s="1"/>
  <c r="Z83" i="13"/>
  <c r="BS83" i="13" s="1"/>
  <c r="H83" i="13" s="1"/>
  <c r="Y83" i="13"/>
  <c r="BS82" i="13"/>
  <c r="H82" i="13" s="1"/>
  <c r="AA82" i="13"/>
  <c r="BT82" i="13" s="1"/>
  <c r="I82" i="13" s="1"/>
  <c r="Z82" i="13"/>
  <c r="Y82" i="13"/>
  <c r="BR82" i="13" s="1"/>
  <c r="G82" i="13"/>
  <c r="BS81" i="13"/>
  <c r="H81" i="13" s="1"/>
  <c r="BR81" i="13"/>
  <c r="AA81" i="13"/>
  <c r="BT81" i="13" s="1"/>
  <c r="I81" i="13" s="1"/>
  <c r="Z81" i="13"/>
  <c r="Y81" i="13"/>
  <c r="G81" i="13"/>
  <c r="BT80" i="13"/>
  <c r="BR80" i="13"/>
  <c r="G80" i="13" s="1"/>
  <c r="AA80" i="13"/>
  <c r="Z80" i="13"/>
  <c r="BS80" i="13" s="1"/>
  <c r="H80" i="13" s="1"/>
  <c r="Y80" i="13"/>
  <c r="I80" i="13"/>
  <c r="BT79" i="13"/>
  <c r="I79" i="13" s="1"/>
  <c r="BR79" i="13"/>
  <c r="G79" i="13" s="1"/>
  <c r="AA79" i="13"/>
  <c r="Z79" i="13"/>
  <c r="BS79" i="13" s="1"/>
  <c r="H79" i="13" s="1"/>
  <c r="Y79" i="13"/>
  <c r="BT78" i="13"/>
  <c r="I78" i="13" s="1"/>
  <c r="BS78" i="13"/>
  <c r="H78" i="13" s="1"/>
  <c r="AA78" i="13"/>
  <c r="Z78" i="13"/>
  <c r="Y78" i="13"/>
  <c r="BR78" i="13" s="1"/>
  <c r="G78" i="13" s="1"/>
  <c r="BR77" i="13"/>
  <c r="AA77" i="13"/>
  <c r="BT77" i="13" s="1"/>
  <c r="Z77" i="13"/>
  <c r="BS77" i="13" s="1"/>
  <c r="H77" i="13" s="1"/>
  <c r="Y77" i="13"/>
  <c r="I77" i="13"/>
  <c r="G77" i="13"/>
  <c r="BT76" i="13"/>
  <c r="I76" i="13" s="1"/>
  <c r="BS76" i="13"/>
  <c r="H76" i="13" s="1"/>
  <c r="BR76" i="13"/>
  <c r="G76" i="13" s="1"/>
  <c r="AA76" i="13"/>
  <c r="Z76" i="13"/>
  <c r="Y76" i="13"/>
  <c r="BT75" i="13"/>
  <c r="I75" i="13" s="1"/>
  <c r="BS75" i="13"/>
  <c r="H75" i="13" s="1"/>
  <c r="AA75" i="13"/>
  <c r="Z75" i="13"/>
  <c r="Y75" i="13"/>
  <c r="BR75" i="13" s="1"/>
  <c r="G75" i="13" s="1"/>
  <c r="BT74" i="13"/>
  <c r="AA74" i="13"/>
  <c r="Z74" i="13"/>
  <c r="BS74" i="13" s="1"/>
  <c r="H74" i="13" s="1"/>
  <c r="Y74" i="13"/>
  <c r="BR74" i="13" s="1"/>
  <c r="I74" i="13"/>
  <c r="G74" i="13"/>
  <c r="BS73" i="13"/>
  <c r="H73" i="13" s="1"/>
  <c r="BR73" i="13"/>
  <c r="AA73" i="13"/>
  <c r="BT73" i="13" s="1"/>
  <c r="I73" i="13" s="1"/>
  <c r="Z73" i="13"/>
  <c r="Y73" i="13"/>
  <c r="G73" i="13"/>
  <c r="BT72" i="13"/>
  <c r="BS72" i="13"/>
  <c r="H72" i="13" s="1"/>
  <c r="BR72" i="13"/>
  <c r="G72" i="13" s="1"/>
  <c r="AA72" i="13"/>
  <c r="Z72" i="13"/>
  <c r="Y72" i="13"/>
  <c r="I72" i="13"/>
  <c r="BT71" i="13"/>
  <c r="I71" i="13" s="1"/>
  <c r="AA71" i="13"/>
  <c r="Z71" i="13"/>
  <c r="BS71" i="13" s="1"/>
  <c r="H71" i="13" s="1"/>
  <c r="Y71" i="13"/>
  <c r="BR71" i="13" s="1"/>
  <c r="G71" i="13" s="1"/>
  <c r="BS70" i="13"/>
  <c r="H70" i="13" s="1"/>
  <c r="AA70" i="13"/>
  <c r="BT70" i="13" s="1"/>
  <c r="I70" i="13" s="1"/>
  <c r="Z70" i="13"/>
  <c r="Y70" i="13"/>
  <c r="BR70" i="13" s="1"/>
  <c r="G70" i="13"/>
  <c r="BR69" i="13"/>
  <c r="AA69" i="13"/>
  <c r="BT69" i="13" s="1"/>
  <c r="I69" i="13" s="1"/>
  <c r="Z69" i="13"/>
  <c r="BS69" i="13" s="1"/>
  <c r="H69" i="13" s="1"/>
  <c r="Y69" i="13"/>
  <c r="G69" i="13"/>
  <c r="BT68" i="13"/>
  <c r="BS68" i="13"/>
  <c r="BR68" i="13"/>
  <c r="G68" i="13" s="1"/>
  <c r="AA68" i="13"/>
  <c r="Z68" i="13"/>
  <c r="Y68" i="13"/>
  <c r="I68" i="13"/>
  <c r="H68" i="13"/>
  <c r="BS67" i="13"/>
  <c r="H67" i="13" s="1"/>
  <c r="BR67" i="13"/>
  <c r="G67" i="13" s="1"/>
  <c r="AA67" i="13"/>
  <c r="BT67" i="13" s="1"/>
  <c r="I67" i="13" s="1"/>
  <c r="Z67" i="13"/>
  <c r="Y67" i="13"/>
  <c r="BT66" i="13"/>
  <c r="AA66" i="13"/>
  <c r="Z66" i="13"/>
  <c r="Z108" i="13" s="1"/>
  <c r="Y66" i="13"/>
  <c r="I66" i="13"/>
  <c r="BS65" i="13"/>
  <c r="H65" i="13" s="1"/>
  <c r="BR65" i="13"/>
  <c r="AA65" i="13"/>
  <c r="BT65" i="13" s="1"/>
  <c r="I65" i="13" s="1"/>
  <c r="Z65" i="13"/>
  <c r="Y65" i="13"/>
  <c r="G65" i="13"/>
  <c r="BT64" i="13"/>
  <c r="BR64" i="13"/>
  <c r="G64" i="13" s="1"/>
  <c r="AA64" i="13"/>
  <c r="Z64" i="13"/>
  <c r="BS64" i="13" s="1"/>
  <c r="Y64" i="13"/>
  <c r="BT62" i="13"/>
  <c r="I62" i="13" s="1"/>
  <c r="AA62" i="13"/>
  <c r="Z62" i="13"/>
  <c r="BS62" i="13" s="1"/>
  <c r="H62" i="13" s="1"/>
  <c r="Y62" i="13"/>
  <c r="BR62" i="13" s="1"/>
  <c r="G62" i="13" s="1"/>
  <c r="BW61" i="13"/>
  <c r="BV61" i="13"/>
  <c r="BU61" i="13"/>
  <c r="BP61" i="13"/>
  <c r="BO61" i="13"/>
  <c r="BL61" i="13"/>
  <c r="BJ61" i="13"/>
  <c r="BE61" i="13"/>
  <c r="BD61" i="13"/>
  <c r="BA61" i="13"/>
  <c r="AZ61" i="13"/>
  <c r="AX61" i="13"/>
  <c r="AQ61" i="13"/>
  <c r="AI61" i="13"/>
  <c r="AE61" i="13"/>
  <c r="AC61" i="13"/>
  <c r="AB61" i="13"/>
  <c r="P61" i="13"/>
  <c r="O61" i="13"/>
  <c r="N61" i="13"/>
  <c r="L60" i="13"/>
  <c r="L61" i="13" s="1"/>
  <c r="K60" i="13"/>
  <c r="K61" i="13" s="1"/>
  <c r="J60" i="13"/>
  <c r="Y60" i="13" s="1"/>
  <c r="BR60" i="13" s="1"/>
  <c r="G60" i="13" s="1"/>
  <c r="BS59" i="13"/>
  <c r="BR59" i="13"/>
  <c r="G59" i="13" s="1"/>
  <c r="AA59" i="13"/>
  <c r="BT59" i="13" s="1"/>
  <c r="I59" i="13" s="1"/>
  <c r="Z59" i="13"/>
  <c r="Y59" i="13"/>
  <c r="H59" i="13"/>
  <c r="BS58" i="13"/>
  <c r="H58" i="13" s="1"/>
  <c r="BR58" i="13"/>
  <c r="G58" i="13" s="1"/>
  <c r="AA58" i="13"/>
  <c r="BT58" i="13" s="1"/>
  <c r="I58" i="13" s="1"/>
  <c r="Z58" i="13"/>
  <c r="Y58" i="13"/>
  <c r="AA57" i="13"/>
  <c r="BT57" i="13" s="1"/>
  <c r="I57" i="13" s="1"/>
  <c r="Z57" i="13"/>
  <c r="BS57" i="13" s="1"/>
  <c r="H57" i="13" s="1"/>
  <c r="Y57" i="13"/>
  <c r="BR57" i="13" s="1"/>
  <c r="G57" i="13"/>
  <c r="BT56" i="13"/>
  <c r="I56" i="13" s="1"/>
  <c r="BS56" i="13"/>
  <c r="AA56" i="13"/>
  <c r="Z56" i="13"/>
  <c r="Y56" i="13"/>
  <c r="BR56" i="13" s="1"/>
  <c r="H56" i="13"/>
  <c r="G56" i="13"/>
  <c r="BS55" i="13"/>
  <c r="H55" i="13" s="1"/>
  <c r="BR55" i="13"/>
  <c r="G55" i="13" s="1"/>
  <c r="AA55" i="13"/>
  <c r="BT55" i="13" s="1"/>
  <c r="I55" i="13" s="1"/>
  <c r="Z55" i="13"/>
  <c r="Y55" i="13"/>
  <c r="BR54" i="13"/>
  <c r="G54" i="13" s="1"/>
  <c r="AA54" i="13"/>
  <c r="BT54" i="13" s="1"/>
  <c r="I54" i="13" s="1"/>
  <c r="Z54" i="13"/>
  <c r="BS54" i="13" s="1"/>
  <c r="H54" i="13" s="1"/>
  <c r="Y54" i="13"/>
  <c r="BT53" i="13"/>
  <c r="I53" i="13" s="1"/>
  <c r="BS53" i="13"/>
  <c r="AA53" i="13"/>
  <c r="Z53" i="13"/>
  <c r="Y53" i="13"/>
  <c r="BR53" i="13" s="1"/>
  <c r="H53" i="13"/>
  <c r="G53" i="13"/>
  <c r="BS52" i="13"/>
  <c r="H52" i="13" s="1"/>
  <c r="AA52" i="13"/>
  <c r="BT52" i="13" s="1"/>
  <c r="I52" i="13" s="1"/>
  <c r="Z52" i="13"/>
  <c r="Y52" i="13"/>
  <c r="BR52" i="13" s="1"/>
  <c r="G52" i="13"/>
  <c r="BR51" i="13"/>
  <c r="G51" i="13" s="1"/>
  <c r="AG51" i="13"/>
  <c r="AG61" i="13" s="1"/>
  <c r="AF51" i="13"/>
  <c r="AF61" i="13" s="1"/>
  <c r="AE51" i="13"/>
  <c r="AA51" i="13"/>
  <c r="Z51" i="13"/>
  <c r="Y51" i="13"/>
  <c r="BR50" i="13"/>
  <c r="G50" i="13" s="1"/>
  <c r="AA50" i="13"/>
  <c r="BT50" i="13" s="1"/>
  <c r="I50" i="13" s="1"/>
  <c r="Z50" i="13"/>
  <c r="BS50" i="13" s="1"/>
  <c r="H50" i="13" s="1"/>
  <c r="Y50" i="13"/>
  <c r="BS49" i="13"/>
  <c r="BR49" i="13"/>
  <c r="G49" i="13" s="1"/>
  <c r="AA49" i="13"/>
  <c r="BT49" i="13" s="1"/>
  <c r="I49" i="13" s="1"/>
  <c r="Z49" i="13"/>
  <c r="Y49" i="13"/>
  <c r="H49" i="13"/>
  <c r="BS48" i="13"/>
  <c r="H48" i="13" s="1"/>
  <c r="AA48" i="13"/>
  <c r="BT48" i="13" s="1"/>
  <c r="I48" i="13" s="1"/>
  <c r="Z48" i="13"/>
  <c r="Y48" i="13"/>
  <c r="BR48" i="13" s="1"/>
  <c r="G48" i="13"/>
  <c r="AA47" i="13"/>
  <c r="BT47" i="13" s="1"/>
  <c r="I47" i="13" s="1"/>
  <c r="Z47" i="13"/>
  <c r="BS47" i="13" s="1"/>
  <c r="H47" i="13" s="1"/>
  <c r="Y47" i="13"/>
  <c r="BR47" i="13" s="1"/>
  <c r="G47" i="13"/>
  <c r="BS46" i="13"/>
  <c r="BR46" i="13"/>
  <c r="G46" i="13" s="1"/>
  <c r="AA46" i="13"/>
  <c r="BT46" i="13" s="1"/>
  <c r="I46" i="13" s="1"/>
  <c r="Z46" i="13"/>
  <c r="Y46" i="13"/>
  <c r="H46" i="13"/>
  <c r="BS45" i="13"/>
  <c r="H45" i="13" s="1"/>
  <c r="BR45" i="13"/>
  <c r="G45" i="13" s="1"/>
  <c r="AA45" i="13"/>
  <c r="BT45" i="13" s="1"/>
  <c r="I45" i="13" s="1"/>
  <c r="Z45" i="13"/>
  <c r="Y45" i="13"/>
  <c r="AA44" i="13"/>
  <c r="BT44" i="13" s="1"/>
  <c r="I44" i="13" s="1"/>
  <c r="Z44" i="13"/>
  <c r="BS44" i="13" s="1"/>
  <c r="H44" i="13" s="1"/>
  <c r="Y44" i="13"/>
  <c r="BR44" i="13" s="1"/>
  <c r="G44" i="13"/>
  <c r="BT43" i="13"/>
  <c r="I43" i="13" s="1"/>
  <c r="BS43" i="13"/>
  <c r="AA43" i="13"/>
  <c r="Z43" i="13"/>
  <c r="Y43" i="13"/>
  <c r="BR43" i="13" s="1"/>
  <c r="H43" i="13"/>
  <c r="G43" i="13"/>
  <c r="BS42" i="13"/>
  <c r="H42" i="13" s="1"/>
  <c r="BR42" i="13"/>
  <c r="G42" i="13" s="1"/>
  <c r="AA42" i="13"/>
  <c r="BT42" i="13" s="1"/>
  <c r="I42" i="13" s="1"/>
  <c r="Z42" i="13"/>
  <c r="Y42" i="13"/>
  <c r="BR41" i="13"/>
  <c r="G41" i="13" s="1"/>
  <c r="AA41" i="13"/>
  <c r="BT41" i="13" s="1"/>
  <c r="I41" i="13" s="1"/>
  <c r="Z41" i="13"/>
  <c r="BS41" i="13" s="1"/>
  <c r="H41" i="13" s="1"/>
  <c r="Y41" i="13"/>
  <c r="BT40" i="13"/>
  <c r="I40" i="13" s="1"/>
  <c r="BS40" i="13"/>
  <c r="AA40" i="13"/>
  <c r="Z40" i="13"/>
  <c r="Y40" i="13"/>
  <c r="BR40" i="13" s="1"/>
  <c r="H40" i="13"/>
  <c r="G40" i="13"/>
  <c r="BS39" i="13"/>
  <c r="H39" i="13" s="1"/>
  <c r="AA39" i="13"/>
  <c r="BT39" i="13" s="1"/>
  <c r="I39" i="13" s="1"/>
  <c r="Z39" i="13"/>
  <c r="Y39" i="13"/>
  <c r="BR39" i="13" s="1"/>
  <c r="G39" i="13"/>
  <c r="BR38" i="13"/>
  <c r="G38" i="13" s="1"/>
  <c r="AA38" i="13"/>
  <c r="BT38" i="13" s="1"/>
  <c r="I38" i="13" s="1"/>
  <c r="Z38" i="13"/>
  <c r="BS38" i="13" s="1"/>
  <c r="H38" i="13" s="1"/>
  <c r="Y38" i="13"/>
  <c r="BS37" i="13"/>
  <c r="BR37" i="13"/>
  <c r="G37" i="13" s="1"/>
  <c r="AA37" i="13"/>
  <c r="BT37" i="13" s="1"/>
  <c r="I37" i="13" s="1"/>
  <c r="Z37" i="13"/>
  <c r="Y37" i="13"/>
  <c r="H37" i="13"/>
  <c r="BS36" i="13"/>
  <c r="H36" i="13" s="1"/>
  <c r="AV36" i="13"/>
  <c r="BT36" i="13" s="1"/>
  <c r="I36" i="13" s="1"/>
  <c r="AU36" i="13"/>
  <c r="AU61" i="13" s="1"/>
  <c r="AT36" i="13"/>
  <c r="AA36" i="13"/>
  <c r="Z36" i="13"/>
  <c r="Y36" i="13"/>
  <c r="BT35" i="13"/>
  <c r="I35" i="13" s="1"/>
  <c r="BS35" i="13"/>
  <c r="H35" i="13" s="1"/>
  <c r="AA35" i="13"/>
  <c r="Z35" i="13"/>
  <c r="Y35" i="13"/>
  <c r="BR35" i="13" s="1"/>
  <c r="G35" i="13" s="1"/>
  <c r="BK34" i="13"/>
  <c r="BK61" i="13" s="1"/>
  <c r="BJ34" i="13"/>
  <c r="BI34" i="13"/>
  <c r="BI61" i="13" s="1"/>
  <c r="BH34" i="13"/>
  <c r="BH61" i="13" s="1"/>
  <c r="BG34" i="13"/>
  <c r="BG61" i="13" s="1"/>
  <c r="BF34" i="13"/>
  <c r="BF61" i="13" s="1"/>
  <c r="BE34" i="13"/>
  <c r="BD34" i="13"/>
  <c r="BC34" i="13"/>
  <c r="BC61" i="13" s="1"/>
  <c r="BB34" i="13"/>
  <c r="BB61" i="13" s="1"/>
  <c r="BA34" i="13"/>
  <c r="AZ34" i="13"/>
  <c r="AS34" i="13"/>
  <c r="AS61" i="13" s="1"/>
  <c r="AR34" i="13"/>
  <c r="AR61" i="13" s="1"/>
  <c r="AQ34" i="13"/>
  <c r="AP34" i="13"/>
  <c r="AP61" i="13" s="1"/>
  <c r="AO34" i="13"/>
  <c r="AO61" i="13" s="1"/>
  <c r="AN34" i="13"/>
  <c r="AN61" i="13" s="1"/>
  <c r="AM34" i="13"/>
  <c r="AM61" i="13" s="1"/>
  <c r="AL34" i="13"/>
  <c r="AL61" i="13" s="1"/>
  <c r="AK34" i="13"/>
  <c r="AK61" i="13" s="1"/>
  <c r="AD34" i="13"/>
  <c r="AC34" i="13"/>
  <c r="AB34" i="13"/>
  <c r="X34" i="13"/>
  <c r="X61" i="13" s="1"/>
  <c r="X63" i="13" s="1"/>
  <c r="W34" i="13"/>
  <c r="W61" i="13" s="1"/>
  <c r="W63" i="13" s="1"/>
  <c r="V34" i="13"/>
  <c r="V61" i="13" s="1"/>
  <c r="U34" i="13"/>
  <c r="U61" i="13" s="1"/>
  <c r="T34" i="13"/>
  <c r="T61" i="13" s="1"/>
  <c r="T63" i="13" s="1"/>
  <c r="S34" i="13"/>
  <c r="S61" i="13" s="1"/>
  <c r="R34" i="13"/>
  <c r="R61" i="13" s="1"/>
  <c r="Q34" i="13"/>
  <c r="Q61" i="13" s="1"/>
  <c r="P34" i="13"/>
  <c r="O34" i="13"/>
  <c r="N34" i="13"/>
  <c r="Z34" i="13" s="1"/>
  <c r="M34" i="13"/>
  <c r="M61" i="13" s="1"/>
  <c r="BT33" i="13"/>
  <c r="I33" i="13" s="1"/>
  <c r="BS33" i="13"/>
  <c r="H33" i="13" s="1"/>
  <c r="BR33" i="13"/>
  <c r="G33" i="13" s="1"/>
  <c r="AA33" i="13"/>
  <c r="Z33" i="13"/>
  <c r="Y33" i="13"/>
  <c r="BS32" i="13"/>
  <c r="H32" i="13" s="1"/>
  <c r="BR32" i="13"/>
  <c r="G32" i="13" s="1"/>
  <c r="AA32" i="13"/>
  <c r="BT32" i="13" s="1"/>
  <c r="I32" i="13" s="1"/>
  <c r="Z32" i="13"/>
  <c r="Y32" i="13"/>
  <c r="BT31" i="13"/>
  <c r="AA31" i="13"/>
  <c r="Z31" i="13"/>
  <c r="BS31" i="13" s="1"/>
  <c r="H31" i="13" s="1"/>
  <c r="Y31" i="13"/>
  <c r="BR31" i="13" s="1"/>
  <c r="I31" i="13"/>
  <c r="G31" i="13"/>
  <c r="BT30" i="13"/>
  <c r="I30" i="13" s="1"/>
  <c r="BS30" i="13"/>
  <c r="BN30" i="13"/>
  <c r="BN61" i="13" s="1"/>
  <c r="BM30" i="13"/>
  <c r="BM61" i="13" s="1"/>
  <c r="BL30" i="13"/>
  <c r="BR30" i="13" s="1"/>
  <c r="AA30" i="13"/>
  <c r="Z30" i="13"/>
  <c r="Y30" i="13"/>
  <c r="H30" i="13"/>
  <c r="G30" i="13"/>
  <c r="BS29" i="13"/>
  <c r="H29" i="13" s="1"/>
  <c r="BQ29" i="13"/>
  <c r="BQ61" i="13" s="1"/>
  <c r="BP29" i="13"/>
  <c r="BO29" i="13"/>
  <c r="AY29" i="13"/>
  <c r="BT29" i="13" s="1"/>
  <c r="I29" i="13" s="1"/>
  <c r="AX29" i="13"/>
  <c r="AW29" i="13"/>
  <c r="AA29" i="13"/>
  <c r="Z29" i="13"/>
  <c r="Y29" i="13"/>
  <c r="BT28" i="13"/>
  <c r="I28" i="13" s="1"/>
  <c r="BS28" i="13"/>
  <c r="H28" i="13" s="1"/>
  <c r="AA28" i="13"/>
  <c r="Z28" i="13"/>
  <c r="Y28" i="13"/>
  <c r="BR28" i="13" s="1"/>
  <c r="G28" i="13" s="1"/>
  <c r="BS27" i="13"/>
  <c r="H27" i="13" s="1"/>
  <c r="AA27" i="13"/>
  <c r="BT27" i="13" s="1"/>
  <c r="I27" i="13" s="1"/>
  <c r="Z27" i="13"/>
  <c r="Y27" i="13"/>
  <c r="BR27" i="13" s="1"/>
  <c r="G27" i="13" s="1"/>
  <c r="BT26" i="13"/>
  <c r="BR26" i="13"/>
  <c r="G26" i="13" s="1"/>
  <c r="AA26" i="13"/>
  <c r="Z26" i="13"/>
  <c r="BS26" i="13" s="1"/>
  <c r="H26" i="13" s="1"/>
  <c r="Y26" i="13"/>
  <c r="I26" i="13"/>
  <c r="BT25" i="13"/>
  <c r="I25" i="13" s="1"/>
  <c r="BS25" i="13"/>
  <c r="H25" i="13" s="1"/>
  <c r="BR25" i="13"/>
  <c r="G25" i="13" s="1"/>
  <c r="AA25" i="13"/>
  <c r="Z25" i="13"/>
  <c r="Y25" i="13"/>
  <c r="BS24" i="13"/>
  <c r="H24" i="13" s="1"/>
  <c r="AJ24" i="13"/>
  <c r="AJ61" i="13" s="1"/>
  <c r="AI24" i="13"/>
  <c r="AH24" i="13"/>
  <c r="AA24" i="13"/>
  <c r="Z24" i="13"/>
  <c r="Y24" i="13"/>
  <c r="BT23" i="13"/>
  <c r="AA23" i="13"/>
  <c r="Z23" i="13"/>
  <c r="BS23" i="13" s="1"/>
  <c r="H23" i="13" s="1"/>
  <c r="Y23" i="13"/>
  <c r="BR23" i="13" s="1"/>
  <c r="G23" i="13" s="1"/>
  <c r="I23" i="13"/>
  <c r="BS22" i="13"/>
  <c r="H22" i="13" s="1"/>
  <c r="AA22" i="13"/>
  <c r="BT22" i="13" s="1"/>
  <c r="I22" i="13" s="1"/>
  <c r="Z22" i="13"/>
  <c r="Y22" i="13"/>
  <c r="BR22" i="13" s="1"/>
  <c r="G22" i="13"/>
  <c r="BT21" i="13"/>
  <c r="I21" i="13" s="1"/>
  <c r="BR21" i="13"/>
  <c r="G21" i="13" s="1"/>
  <c r="AA21" i="13"/>
  <c r="Z21" i="13"/>
  <c r="BS21" i="13" s="1"/>
  <c r="H21" i="13" s="1"/>
  <c r="Y21" i="13"/>
  <c r="BR20" i="13"/>
  <c r="G20" i="13" s="1"/>
  <c r="AA20" i="13"/>
  <c r="BT20" i="13" s="1"/>
  <c r="I20" i="13" s="1"/>
  <c r="Z20" i="13"/>
  <c r="BS20" i="13" s="1"/>
  <c r="H20" i="13" s="1"/>
  <c r="Y20" i="13"/>
  <c r="BT19" i="13"/>
  <c r="AA19" i="13"/>
  <c r="Z19" i="13"/>
  <c r="BS19" i="13" s="1"/>
  <c r="H19" i="13" s="1"/>
  <c r="Y19" i="13"/>
  <c r="BR19" i="13" s="1"/>
  <c r="G19" i="13" s="1"/>
  <c r="I19" i="13"/>
  <c r="BT18" i="13"/>
  <c r="I18" i="13" s="1"/>
  <c r="BS18" i="13"/>
  <c r="H18" i="13" s="1"/>
  <c r="BR18" i="13"/>
  <c r="AA18" i="13"/>
  <c r="Z18" i="13"/>
  <c r="Y18" i="13"/>
  <c r="G18" i="13"/>
  <c r="BT17" i="13"/>
  <c r="I17" i="13" s="1"/>
  <c r="BR17" i="13"/>
  <c r="G17" i="13" s="1"/>
  <c r="AA17" i="13"/>
  <c r="Z17" i="13"/>
  <c r="BS17" i="13" s="1"/>
  <c r="H17" i="13" s="1"/>
  <c r="Y17" i="13"/>
  <c r="BR16" i="13"/>
  <c r="G16" i="13" s="1"/>
  <c r="AA16" i="13"/>
  <c r="BT16" i="13" s="1"/>
  <c r="I16" i="13" s="1"/>
  <c r="Z16" i="13"/>
  <c r="BS16" i="13" s="1"/>
  <c r="H16" i="13" s="1"/>
  <c r="Y16" i="13"/>
  <c r="BT15" i="13"/>
  <c r="AA15" i="13"/>
  <c r="Z15" i="13"/>
  <c r="BS15" i="13" s="1"/>
  <c r="H15" i="13" s="1"/>
  <c r="Y15" i="13"/>
  <c r="BR15" i="13" s="1"/>
  <c r="G15" i="13" s="1"/>
  <c r="I15" i="13"/>
  <c r="BW14" i="13"/>
  <c r="BW63" i="13" s="1"/>
  <c r="BV14" i="13"/>
  <c r="BV63" i="13" s="1"/>
  <c r="BU14" i="13"/>
  <c r="BU63" i="13" s="1"/>
  <c r="BU338" i="13" s="1"/>
  <c r="BU387" i="13" s="1"/>
  <c r="BO14" i="13"/>
  <c r="BO63" i="13" s="1"/>
  <c r="BN14" i="13"/>
  <c r="BL14" i="13"/>
  <c r="BL63" i="13" s="1"/>
  <c r="BK14" i="13"/>
  <c r="BK63" i="13" s="1"/>
  <c r="BI14" i="13"/>
  <c r="BI63" i="13" s="1"/>
  <c r="BF14" i="13"/>
  <c r="BF63" i="13" s="1"/>
  <c r="BC14" i="13"/>
  <c r="BB14" i="13"/>
  <c r="BA14" i="13"/>
  <c r="BA63" i="13" s="1"/>
  <c r="AZ14" i="13"/>
  <c r="AZ63" i="13" s="1"/>
  <c r="AY14" i="13"/>
  <c r="AX14" i="13"/>
  <c r="AX63" i="13" s="1"/>
  <c r="AW14" i="13"/>
  <c r="AV14" i="13"/>
  <c r="AT14" i="13"/>
  <c r="AS14" i="13"/>
  <c r="AQ14" i="13"/>
  <c r="AQ63" i="13" s="1"/>
  <c r="AN14" i="13"/>
  <c r="AK14" i="13"/>
  <c r="AK63" i="13" s="1"/>
  <c r="AH14" i="13"/>
  <c r="AE14" i="13"/>
  <c r="AE63" i="13" s="1"/>
  <c r="AD14" i="13"/>
  <c r="AB14" i="13"/>
  <c r="AB63" i="13" s="1"/>
  <c r="X14" i="13"/>
  <c r="W14" i="13"/>
  <c r="V14" i="13"/>
  <c r="V63" i="13" s="1"/>
  <c r="U14" i="13"/>
  <c r="T14" i="13"/>
  <c r="S14" i="13"/>
  <c r="R14" i="13"/>
  <c r="R63" i="13" s="1"/>
  <c r="Q14" i="13"/>
  <c r="P14" i="13"/>
  <c r="P63" i="13" s="1"/>
  <c r="O14" i="13"/>
  <c r="O63" i="13" s="1"/>
  <c r="N14" i="13"/>
  <c r="N63" i="13" s="1"/>
  <c r="M14" i="13"/>
  <c r="M63" i="13" s="1"/>
  <c r="L14" i="13"/>
  <c r="J14" i="13"/>
  <c r="BT13" i="13"/>
  <c r="I13" i="13" s="1"/>
  <c r="BR13" i="13"/>
  <c r="G13" i="13" s="1"/>
  <c r="AA13" i="13"/>
  <c r="Z13" i="13"/>
  <c r="BS13" i="13" s="1"/>
  <c r="H13" i="13" s="1"/>
  <c r="Y13" i="13"/>
  <c r="BR12" i="13"/>
  <c r="G12" i="13" s="1"/>
  <c r="AA12" i="13"/>
  <c r="BT12" i="13" s="1"/>
  <c r="I12" i="13" s="1"/>
  <c r="Z12" i="13"/>
  <c r="BS12" i="13" s="1"/>
  <c r="H12" i="13" s="1"/>
  <c r="Y12" i="13"/>
  <c r="BT11" i="13"/>
  <c r="AA11" i="13"/>
  <c r="Z11" i="13"/>
  <c r="BS11" i="13" s="1"/>
  <c r="H11" i="13" s="1"/>
  <c r="Y11" i="13"/>
  <c r="BR11" i="13" s="1"/>
  <c r="G11" i="13" s="1"/>
  <c r="I11" i="13"/>
  <c r="BT10" i="13"/>
  <c r="I10" i="13" s="1"/>
  <c r="BS10" i="13"/>
  <c r="H10" i="13" s="1"/>
  <c r="BR10" i="13"/>
  <c r="AA10" i="13"/>
  <c r="Z10" i="13"/>
  <c r="Y10" i="13"/>
  <c r="G10" i="13"/>
  <c r="BT9" i="13"/>
  <c r="I9" i="13" s="1"/>
  <c r="BR9" i="13"/>
  <c r="G9" i="13" s="1"/>
  <c r="AA9" i="13"/>
  <c r="Z9" i="13"/>
  <c r="BS9" i="13" s="1"/>
  <c r="H9" i="13" s="1"/>
  <c r="Y9" i="13"/>
  <c r="BR8" i="13"/>
  <c r="G8" i="13" s="1"/>
  <c r="AA8" i="13"/>
  <c r="BT8" i="13" s="1"/>
  <c r="I8" i="13" s="1"/>
  <c r="Z8" i="13"/>
  <c r="BS8" i="13" s="1"/>
  <c r="H8" i="13" s="1"/>
  <c r="Y8" i="13"/>
  <c r="BT7" i="13"/>
  <c r="AA7" i="13"/>
  <c r="Z7" i="13"/>
  <c r="BS7" i="13" s="1"/>
  <c r="H7" i="13" s="1"/>
  <c r="Y7" i="13"/>
  <c r="BR7" i="13" s="1"/>
  <c r="G7" i="13" s="1"/>
  <c r="I7" i="13"/>
  <c r="BQ6" i="13"/>
  <c r="BQ14" i="13" s="1"/>
  <c r="BQ63" i="13" s="1"/>
  <c r="BP6" i="13"/>
  <c r="BP14" i="13" s="1"/>
  <c r="BP63" i="13" s="1"/>
  <c r="BN6" i="13"/>
  <c r="BM6" i="13"/>
  <c r="BM14" i="13" s="1"/>
  <c r="BM63" i="13" s="1"/>
  <c r="BK6" i="13"/>
  <c r="BJ6" i="13"/>
  <c r="BJ14" i="13" s="1"/>
  <c r="BJ63" i="13" s="1"/>
  <c r="BH6" i="13"/>
  <c r="BH14" i="13" s="1"/>
  <c r="BG6" i="13"/>
  <c r="BG14" i="13" s="1"/>
  <c r="BG63" i="13" s="1"/>
  <c r="BE6" i="13"/>
  <c r="BE14" i="13" s="1"/>
  <c r="BE63" i="13" s="1"/>
  <c r="BD6" i="13"/>
  <c r="BD14" i="13" s="1"/>
  <c r="BD63" i="13" s="1"/>
  <c r="BB6" i="13"/>
  <c r="BA6" i="13"/>
  <c r="AY6" i="13"/>
  <c r="AX6" i="13"/>
  <c r="AV6" i="13"/>
  <c r="AU6" i="13"/>
  <c r="AU14" i="13" s="1"/>
  <c r="AU63" i="13" s="1"/>
  <c r="AS6" i="13"/>
  <c r="AR6" i="13"/>
  <c r="AR14" i="13" s="1"/>
  <c r="AR63" i="13" s="1"/>
  <c r="AP6" i="13"/>
  <c r="AP14" i="13" s="1"/>
  <c r="AO6" i="13"/>
  <c r="AO14" i="13" s="1"/>
  <c r="AO63" i="13" s="1"/>
  <c r="AM6" i="13"/>
  <c r="AM14" i="13" s="1"/>
  <c r="AL6" i="13"/>
  <c r="AL14" i="13" s="1"/>
  <c r="AJ6" i="13"/>
  <c r="AJ14" i="13" s="1"/>
  <c r="AJ63" i="13" s="1"/>
  <c r="AI6" i="13"/>
  <c r="AI14" i="13" s="1"/>
  <c r="AI63" i="13" s="1"/>
  <c r="AG6" i="13"/>
  <c r="AG14" i="13" s="1"/>
  <c r="AG63" i="13" s="1"/>
  <c r="AF6" i="13"/>
  <c r="AF14" i="13" s="1"/>
  <c r="AF63" i="13" s="1"/>
  <c r="AD6" i="13"/>
  <c r="AC6" i="13"/>
  <c r="AC14" i="13" s="1"/>
  <c r="AC63" i="13" s="1"/>
  <c r="Z6" i="13"/>
  <c r="Z14" i="13" s="1"/>
  <c r="Y6" i="13"/>
  <c r="Y14" i="13" s="1"/>
  <c r="L6" i="13"/>
  <c r="AA6" i="13" s="1"/>
  <c r="AA14" i="13" s="1"/>
  <c r="K6" i="13"/>
  <c r="K14" i="13" s="1"/>
  <c r="L32" i="8"/>
  <c r="I32" i="8"/>
  <c r="F32" i="8"/>
  <c r="C32" i="8"/>
  <c r="M31" i="8"/>
  <c r="L31" i="8"/>
  <c r="K31" i="8"/>
  <c r="J31" i="8"/>
  <c r="I31" i="8"/>
  <c r="G31" i="8"/>
  <c r="F31" i="8"/>
  <c r="D31" i="8"/>
  <c r="C31" i="8"/>
  <c r="M29" i="8"/>
  <c r="M32" i="8" s="1"/>
  <c r="L29" i="8"/>
  <c r="K29" i="8"/>
  <c r="K32" i="8" s="1"/>
  <c r="J29" i="8"/>
  <c r="P29" i="8" s="1"/>
  <c r="P32" i="8" s="1"/>
  <c r="I29" i="8"/>
  <c r="O29" i="8" s="1"/>
  <c r="O32" i="8" s="1"/>
  <c r="G29" i="8"/>
  <c r="G32" i="8" s="1"/>
  <c r="F29" i="8"/>
  <c r="D29" i="8"/>
  <c r="D32" i="8" s="1"/>
  <c r="C29" i="8"/>
  <c r="N27" i="8"/>
  <c r="H27" i="8"/>
  <c r="E27" i="8"/>
  <c r="P26" i="8"/>
  <c r="O26" i="8"/>
  <c r="N26" i="8"/>
  <c r="E26" i="8"/>
  <c r="H26" i="8" s="1"/>
  <c r="P25" i="8"/>
  <c r="O25" i="8"/>
  <c r="N25" i="8"/>
  <c r="E25" i="8"/>
  <c r="H25" i="8" s="1"/>
  <c r="P24" i="8"/>
  <c r="O24" i="8"/>
  <c r="N24" i="8"/>
  <c r="E24" i="8"/>
  <c r="H24" i="8" s="1"/>
  <c r="P23" i="8"/>
  <c r="O23" i="8"/>
  <c r="N23" i="8"/>
  <c r="E23" i="8"/>
  <c r="H23" i="8" s="1"/>
  <c r="P22" i="8"/>
  <c r="O22" i="8"/>
  <c r="N22" i="8"/>
  <c r="N31" i="8" s="1"/>
  <c r="H22" i="8"/>
  <c r="E22" i="8"/>
  <c r="P21" i="8"/>
  <c r="O21" i="8"/>
  <c r="N21" i="8"/>
  <c r="H21" i="8"/>
  <c r="E21" i="8"/>
  <c r="P20" i="8"/>
  <c r="P31" i="8" s="1"/>
  <c r="O20" i="8"/>
  <c r="O31" i="8" s="1"/>
  <c r="N20" i="8"/>
  <c r="E20" i="8"/>
  <c r="E31" i="8" s="1"/>
  <c r="P19" i="8"/>
  <c r="O19" i="8"/>
  <c r="N19" i="8"/>
  <c r="H19" i="8"/>
  <c r="E19" i="8"/>
  <c r="P18" i="8"/>
  <c r="O18" i="8"/>
  <c r="N18" i="8"/>
  <c r="H18" i="8"/>
  <c r="E18" i="8"/>
  <c r="P17" i="8"/>
  <c r="O17" i="8"/>
  <c r="N17" i="8"/>
  <c r="E17" i="8"/>
  <c r="H17" i="8" s="1"/>
  <c r="P16" i="8"/>
  <c r="O16" i="8"/>
  <c r="N16" i="8"/>
  <c r="H16" i="8"/>
  <c r="E16" i="8"/>
  <c r="P15" i="8"/>
  <c r="O15" i="8"/>
  <c r="N15" i="8"/>
  <c r="E15" i="8"/>
  <c r="H15" i="8" s="1"/>
  <c r="P14" i="8"/>
  <c r="O14" i="8"/>
  <c r="N14" i="8"/>
  <c r="E14" i="8"/>
  <c r="H14" i="8" s="1"/>
  <c r="P13" i="8"/>
  <c r="O13" i="8"/>
  <c r="N13" i="8"/>
  <c r="E13" i="8"/>
  <c r="H13" i="8" s="1"/>
  <c r="P12" i="8"/>
  <c r="O12" i="8"/>
  <c r="N12" i="8"/>
  <c r="E12" i="8"/>
  <c r="H12" i="8" s="1"/>
  <c r="P11" i="8"/>
  <c r="O11" i="8"/>
  <c r="N11" i="8"/>
  <c r="E11" i="8"/>
  <c r="H11" i="8" s="1"/>
  <c r="P10" i="8"/>
  <c r="O10" i="8"/>
  <c r="N10" i="8"/>
  <c r="H10" i="8"/>
  <c r="E10" i="8"/>
  <c r="P9" i="8"/>
  <c r="O9" i="8"/>
  <c r="N9" i="8"/>
  <c r="H9" i="8"/>
  <c r="E9" i="8"/>
  <c r="P8" i="8"/>
  <c r="O8" i="8"/>
  <c r="N8" i="8"/>
  <c r="N29" i="8" s="1"/>
  <c r="N32" i="8" s="1"/>
  <c r="E8" i="8"/>
  <c r="E29" i="8" s="1"/>
  <c r="BQ342" i="13" l="1"/>
  <c r="BQ383" i="13" s="1"/>
  <c r="BQ386" i="13" s="1"/>
  <c r="BQ338" i="13"/>
  <c r="BQ387" i="13" s="1"/>
  <c r="H64" i="13"/>
  <c r="I173" i="13"/>
  <c r="AI342" i="13"/>
  <c r="AI383" i="13" s="1"/>
  <c r="AI386" i="13" s="1"/>
  <c r="L63" i="13"/>
  <c r="AX338" i="13"/>
  <c r="AX387" i="13" s="1"/>
  <c r="AX342" i="13"/>
  <c r="AX383" i="13" s="1"/>
  <c r="AX386" i="13" s="1"/>
  <c r="T338" i="13"/>
  <c r="T387" i="13" s="1"/>
  <c r="T342" i="13"/>
  <c r="T383" i="13" s="1"/>
  <c r="T386" i="13" s="1"/>
  <c r="T388" i="13" s="1"/>
  <c r="T391" i="13" s="1"/>
  <c r="BD338" i="13"/>
  <c r="BD387" i="13" s="1"/>
  <c r="BD342" i="13"/>
  <c r="BD383" i="13" s="1"/>
  <c r="BD386" i="13" s="1"/>
  <c r="BD388" i="13" s="1"/>
  <c r="BD391" i="13" s="1"/>
  <c r="AD63" i="13"/>
  <c r="AM63" i="13"/>
  <c r="BE342" i="13"/>
  <c r="BE383" i="13" s="1"/>
  <c r="BE386" i="13" s="1"/>
  <c r="BE338" i="13"/>
  <c r="BE387" i="13" s="1"/>
  <c r="O342" i="13"/>
  <c r="O383" i="13" s="1"/>
  <c r="O386" i="13" s="1"/>
  <c r="BA338" i="13"/>
  <c r="BA387" i="13" s="1"/>
  <c r="BA342" i="13"/>
  <c r="BA383" i="13" s="1"/>
  <c r="BA386" i="13" s="1"/>
  <c r="W342" i="13"/>
  <c r="W383" i="13" s="1"/>
  <c r="W386" i="13" s="1"/>
  <c r="W388" i="13" s="1"/>
  <c r="W391" i="13" s="1"/>
  <c r="W338" i="13"/>
  <c r="W387" i="13" s="1"/>
  <c r="AJ342" i="13"/>
  <c r="AJ383" i="13" s="1"/>
  <c r="AJ386" i="13" s="1"/>
  <c r="M338" i="13"/>
  <c r="M387" i="13" s="1"/>
  <c r="M342" i="13"/>
  <c r="K63" i="13"/>
  <c r="BB63" i="13"/>
  <c r="X342" i="13"/>
  <c r="X383" i="13" s="1"/>
  <c r="X386" i="13" s="1"/>
  <c r="AG342" i="13"/>
  <c r="AG383" i="13" s="1"/>
  <c r="AG386" i="13" s="1"/>
  <c r="BV338" i="13"/>
  <c r="BV387" i="13" s="1"/>
  <c r="AL63" i="13"/>
  <c r="N342" i="13"/>
  <c r="N383" i="13" s="1"/>
  <c r="N386" i="13" s="1"/>
  <c r="AO342" i="13"/>
  <c r="AO383" i="13" s="1"/>
  <c r="AO386" i="13" s="1"/>
  <c r="BG342" i="13"/>
  <c r="BG383" i="13" s="1"/>
  <c r="BG386" i="13" s="1"/>
  <c r="AA63" i="13"/>
  <c r="AP63" i="13"/>
  <c r="BH63" i="13"/>
  <c r="Q63" i="13"/>
  <c r="AK342" i="13"/>
  <c r="AK383" i="13" s="1"/>
  <c r="AK386" i="13" s="1"/>
  <c r="AR342" i="13"/>
  <c r="AR383" i="13" s="1"/>
  <c r="AR386" i="13" s="1"/>
  <c r="BJ338" i="13"/>
  <c r="BJ387" i="13" s="1"/>
  <c r="BJ342" i="13"/>
  <c r="BJ383" i="13" s="1"/>
  <c r="BJ386" i="13" s="1"/>
  <c r="BJ388" i="13" s="1"/>
  <c r="BJ391" i="13" s="1"/>
  <c r="R338" i="13"/>
  <c r="R387" i="13" s="1"/>
  <c r="R342" i="13"/>
  <c r="R383" i="13" s="1"/>
  <c r="R386" i="13" s="1"/>
  <c r="R388" i="13" s="1"/>
  <c r="R391" i="13" s="1"/>
  <c r="BF342" i="13"/>
  <c r="BF383" i="13" s="1"/>
  <c r="BF386" i="13" s="1"/>
  <c r="BI338" i="13"/>
  <c r="BI387" i="13" s="1"/>
  <c r="BI342" i="13"/>
  <c r="BI383" i="13" s="1"/>
  <c r="BI386" i="13" s="1"/>
  <c r="BI388" i="13" s="1"/>
  <c r="BI391" i="13" s="1"/>
  <c r="AC338" i="13"/>
  <c r="AC387" i="13" s="1"/>
  <c r="AC342" i="13"/>
  <c r="AU342" i="13"/>
  <c r="AU383" i="13" s="1"/>
  <c r="AU386" i="13" s="1"/>
  <c r="AU338" i="13"/>
  <c r="AU387" i="13" s="1"/>
  <c r="BM342" i="13"/>
  <c r="BM383" i="13" s="1"/>
  <c r="BM386" i="13" s="1"/>
  <c r="BK338" i="13"/>
  <c r="BK387" i="13" s="1"/>
  <c r="BK342" i="13"/>
  <c r="BK383" i="13" s="1"/>
  <c r="BK386" i="13" s="1"/>
  <c r="BK388" i="13" s="1"/>
  <c r="BK391" i="13" s="1"/>
  <c r="Z61" i="13"/>
  <c r="Z63" i="13" s="1"/>
  <c r="AA61" i="13"/>
  <c r="AF342" i="13"/>
  <c r="AF383" i="13" s="1"/>
  <c r="AF386" i="13" s="1"/>
  <c r="BP338" i="13"/>
  <c r="BP387" i="13" s="1"/>
  <c r="BP342" i="13"/>
  <c r="BP383" i="13" s="1"/>
  <c r="BP386" i="13" s="1"/>
  <c r="BP388" i="13" s="1"/>
  <c r="BP391" i="13" s="1"/>
  <c r="V342" i="13"/>
  <c r="V383" i="13" s="1"/>
  <c r="V386" i="13" s="1"/>
  <c r="AV63" i="13"/>
  <c r="BN63" i="13"/>
  <c r="AE342" i="13"/>
  <c r="AE383" i="13" s="1"/>
  <c r="AE386" i="13" s="1"/>
  <c r="AF159" i="13"/>
  <c r="AF338" i="13" s="1"/>
  <c r="AF387" i="13" s="1"/>
  <c r="BS112" i="13"/>
  <c r="H112" i="13" s="1"/>
  <c r="BR174" i="13"/>
  <c r="BT24" i="13"/>
  <c r="I24" i="13" s="1"/>
  <c r="BS51" i="13"/>
  <c r="H51" i="13" s="1"/>
  <c r="Z60" i="13"/>
  <c r="BS60" i="13" s="1"/>
  <c r="H60" i="13" s="1"/>
  <c r="AD61" i="13"/>
  <c r="AA108" i="13"/>
  <c r="BC159" i="13"/>
  <c r="AG159" i="13"/>
  <c r="AG338" i="13" s="1"/>
  <c r="AG387" i="13" s="1"/>
  <c r="BS130" i="13"/>
  <c r="H130" i="13" s="1"/>
  <c r="I166" i="13"/>
  <c r="I174" i="13" s="1"/>
  <c r="AA166" i="13"/>
  <c r="AA174" i="13" s="1"/>
  <c r="BT165" i="13"/>
  <c r="I165" i="13" s="1"/>
  <c r="AI174" i="13"/>
  <c r="AI338" i="13" s="1"/>
  <c r="AI387" i="13" s="1"/>
  <c r="AU174" i="13"/>
  <c r="BG174" i="13"/>
  <c r="BG338" i="13" s="1"/>
  <c r="BG387" i="13" s="1"/>
  <c r="AZ239" i="13"/>
  <c r="AZ240" i="13" s="1"/>
  <c r="AZ338" i="13" s="1"/>
  <c r="AZ387" i="13" s="1"/>
  <c r="BR213" i="13"/>
  <c r="G213" i="13" s="1"/>
  <c r="S63" i="13"/>
  <c r="BT51" i="13"/>
  <c r="I51" i="13" s="1"/>
  <c r="AA60" i="13"/>
  <c r="BT60" i="13" s="1"/>
  <c r="I60" i="13" s="1"/>
  <c r="BS66" i="13"/>
  <c r="H66" i="13" s="1"/>
  <c r="I109" i="13"/>
  <c r="BT128" i="13"/>
  <c r="I128" i="13" s="1"/>
  <c r="BS142" i="13"/>
  <c r="H142" i="13" s="1"/>
  <c r="AQ342" i="13"/>
  <c r="AQ383" i="13" s="1"/>
  <c r="AQ386" i="13" s="1"/>
  <c r="AQ338" i="13"/>
  <c r="AQ387" i="13" s="1"/>
  <c r="AS63" i="13"/>
  <c r="AW61" i="13"/>
  <c r="AW63" i="13" s="1"/>
  <c r="BR29" i="13"/>
  <c r="G29" i="13" s="1"/>
  <c r="BS34" i="13"/>
  <c r="H34" i="13" s="1"/>
  <c r="BR126" i="13"/>
  <c r="G126" i="13" s="1"/>
  <c r="Y174" i="13"/>
  <c r="U63" i="13"/>
  <c r="AA34" i="13"/>
  <c r="BT34" i="13" s="1"/>
  <c r="I34" i="13" s="1"/>
  <c r="AV61" i="13"/>
  <c r="Z159" i="13"/>
  <c r="BM159" i="13"/>
  <c r="BM338" i="13" s="1"/>
  <c r="BM387" i="13" s="1"/>
  <c r="BS109" i="13"/>
  <c r="Z203" i="13"/>
  <c r="Z240" i="13" s="1"/>
  <c r="BL239" i="13"/>
  <c r="BL240" i="13" s="1"/>
  <c r="BL338" i="13" s="1"/>
  <c r="BL387" i="13" s="1"/>
  <c r="BC63" i="13"/>
  <c r="AA203" i="13"/>
  <c r="AA240" i="13" s="1"/>
  <c r="BT175" i="13"/>
  <c r="I64" i="13"/>
  <c r="I108" i="13" s="1"/>
  <c r="BR6" i="13"/>
  <c r="AT61" i="13"/>
  <c r="AT63" i="13" s="1"/>
  <c r="BR36" i="13"/>
  <c r="G36" i="13" s="1"/>
  <c r="AY61" i="13"/>
  <c r="AY63" i="13" s="1"/>
  <c r="AH159" i="13"/>
  <c r="BR109" i="13"/>
  <c r="Y159" i="13"/>
  <c r="BR151" i="13"/>
  <c r="G151" i="13" s="1"/>
  <c r="BO342" i="13"/>
  <c r="BO338" i="13"/>
  <c r="BO387" i="13" s="1"/>
  <c r="BS6" i="13"/>
  <c r="BT173" i="13"/>
  <c r="BS173" i="13"/>
  <c r="BT6" i="13"/>
  <c r="P338" i="13"/>
  <c r="P387" i="13" s="1"/>
  <c r="P342" i="13"/>
  <c r="P383" i="13" s="1"/>
  <c r="P386" i="13" s="1"/>
  <c r="AN63" i="13"/>
  <c r="BL342" i="13"/>
  <c r="G108" i="13"/>
  <c r="AR159" i="13"/>
  <c r="AR338" i="13" s="1"/>
  <c r="AR387" i="13" s="1"/>
  <c r="BR173" i="13"/>
  <c r="AB338" i="13"/>
  <c r="AB387" i="13" s="1"/>
  <c r="AB342" i="13"/>
  <c r="AZ342" i="13"/>
  <c r="AZ383" i="13" s="1"/>
  <c r="AZ386" i="13" s="1"/>
  <c r="AH61" i="13"/>
  <c r="AH63" i="13" s="1"/>
  <c r="BR24" i="13"/>
  <c r="G24" i="13" s="1"/>
  <c r="BT98" i="13"/>
  <c r="I98" i="13" s="1"/>
  <c r="AJ108" i="13"/>
  <c r="AJ338" i="13" s="1"/>
  <c r="AJ387" i="13" s="1"/>
  <c r="BT117" i="13"/>
  <c r="I117" i="13" s="1"/>
  <c r="BR147" i="13"/>
  <c r="G147" i="13" s="1"/>
  <c r="Y108" i="13"/>
  <c r="BR66" i="13"/>
  <c r="G66" i="13" s="1"/>
  <c r="H173" i="13"/>
  <c r="Y34" i="13"/>
  <c r="BR34" i="13" s="1"/>
  <c r="G34" i="13" s="1"/>
  <c r="J61" i="13"/>
  <c r="Y61" i="13" s="1"/>
  <c r="BR61" i="13" s="1"/>
  <c r="G61" i="13" s="1"/>
  <c r="BS131" i="13"/>
  <c r="H131" i="13" s="1"/>
  <c r="BT142" i="13"/>
  <c r="I142" i="13" s="1"/>
  <c r="BS151" i="13"/>
  <c r="H151" i="13" s="1"/>
  <c r="BR155" i="13"/>
  <c r="G155" i="13" s="1"/>
  <c r="BR175" i="13"/>
  <c r="BR204" i="13"/>
  <c r="BS254" i="13"/>
  <c r="Z272" i="13"/>
  <c r="BT168" i="13"/>
  <c r="I168" i="13" s="1"/>
  <c r="Y173" i="13"/>
  <c r="BS239" i="13"/>
  <c r="BR207" i="13"/>
  <c r="G207" i="13" s="1"/>
  <c r="Y239" i="13"/>
  <c r="Y240" i="13" s="1"/>
  <c r="G160" i="13"/>
  <c r="G166" i="13" s="1"/>
  <c r="G174" i="13" s="1"/>
  <c r="AE173" i="13"/>
  <c r="AE174" i="13" s="1"/>
  <c r="AE338" i="13" s="1"/>
  <c r="AE387" i="13" s="1"/>
  <c r="Z173" i="13"/>
  <c r="AK240" i="13"/>
  <c r="AK338" i="13" s="1"/>
  <c r="AK387" i="13" s="1"/>
  <c r="BW240" i="13"/>
  <c r="K159" i="13"/>
  <c r="BT273" i="13"/>
  <c r="G254" i="13"/>
  <c r="AA159" i="13"/>
  <c r="AO159" i="13"/>
  <c r="AO338" i="13" s="1"/>
  <c r="AO387" i="13" s="1"/>
  <c r="BS128" i="13"/>
  <c r="H128" i="13" s="1"/>
  <c r="AH174" i="13"/>
  <c r="AT174" i="13"/>
  <c r="BF174" i="13"/>
  <c r="BF338" i="13" s="1"/>
  <c r="BF387" i="13" s="1"/>
  <c r="BS175" i="13"/>
  <c r="H204" i="13"/>
  <c r="H239" i="13" s="1"/>
  <c r="O273" i="13"/>
  <c r="O338" i="13" s="1"/>
  <c r="O387" i="13" s="1"/>
  <c r="Z166" i="13"/>
  <c r="J174" i="13"/>
  <c r="V174" i="13"/>
  <c r="V338" i="13" s="1"/>
  <c r="V387" i="13" s="1"/>
  <c r="AN203" i="13"/>
  <c r="AN240" i="13" s="1"/>
  <c r="AA239" i="13"/>
  <c r="AP273" i="13"/>
  <c r="BT272" i="13"/>
  <c r="I254" i="13"/>
  <c r="I272" i="13" s="1"/>
  <c r="BR187" i="13"/>
  <c r="G187" i="13" s="1"/>
  <c r="Z239" i="13"/>
  <c r="BT206" i="13"/>
  <c r="I206" i="13" s="1"/>
  <c r="I239" i="13" s="1"/>
  <c r="BT146" i="13"/>
  <c r="I146" i="13" s="1"/>
  <c r="BS160" i="13"/>
  <c r="BW174" i="13"/>
  <c r="BW338" i="13" s="1"/>
  <c r="BW387" i="13" s="1"/>
  <c r="BW388" i="13" s="1"/>
  <c r="BW391" i="13" s="1"/>
  <c r="BF239" i="13"/>
  <c r="BF240" i="13" s="1"/>
  <c r="BR208" i="13"/>
  <c r="G208" i="13" s="1"/>
  <c r="BT166" i="13"/>
  <c r="G173" i="13"/>
  <c r="I276" i="13"/>
  <c r="BR233" i="13"/>
  <c r="G233" i="13" s="1"/>
  <c r="N273" i="13"/>
  <c r="N338" i="13" s="1"/>
  <c r="N387" i="13" s="1"/>
  <c r="AA253" i="13"/>
  <c r="AA273" i="13" s="1"/>
  <c r="BT276" i="13"/>
  <c r="BR256" i="13"/>
  <c r="G256" i="13" s="1"/>
  <c r="BR271" i="13"/>
  <c r="G271" i="13" s="1"/>
  <c r="AE272" i="13"/>
  <c r="AE273" i="13" s="1"/>
  <c r="G241" i="13"/>
  <c r="S272" i="13"/>
  <c r="S273" i="13" s="1"/>
  <c r="BR288" i="13"/>
  <c r="G288" i="13" s="1"/>
  <c r="AW297" i="13"/>
  <c r="AW298" i="13" s="1"/>
  <c r="AW343" i="13" s="1"/>
  <c r="BR343" i="13" s="1"/>
  <c r="G343" i="13" s="1"/>
  <c r="AI337" i="13"/>
  <c r="BS315" i="13"/>
  <c r="H315" i="13" s="1"/>
  <c r="BL253" i="13"/>
  <c r="BL273" i="13" s="1"/>
  <c r="BR252" i="13"/>
  <c r="G252" i="13" s="1"/>
  <c r="BS276" i="13"/>
  <c r="BR299" i="13"/>
  <c r="Y313" i="13"/>
  <c r="L240" i="13"/>
  <c r="X240" i="13"/>
  <c r="X338" i="13" s="1"/>
  <c r="X387" i="13" s="1"/>
  <c r="AJ240" i="13"/>
  <c r="AV240" i="13"/>
  <c r="BH240" i="13"/>
  <c r="S239" i="13"/>
  <c r="S240" i="13" s="1"/>
  <c r="I241" i="13"/>
  <c r="I253" i="13" s="1"/>
  <c r="I273" i="13" s="1"/>
  <c r="AA276" i="13"/>
  <c r="BR282" i="13"/>
  <c r="G277" i="13"/>
  <c r="G282" i="13" s="1"/>
  <c r="Z282" i="13"/>
  <c r="Z298" i="13" s="1"/>
  <c r="BR283" i="13"/>
  <c r="Y297" i="13"/>
  <c r="BR270" i="13"/>
  <c r="G270" i="13" s="1"/>
  <c r="Z297" i="13"/>
  <c r="Z273" i="13"/>
  <c r="AA282" i="13"/>
  <c r="AA297" i="13"/>
  <c r="AN272" i="13"/>
  <c r="AN273" i="13" s="1"/>
  <c r="BT282" i="13"/>
  <c r="I277" i="13"/>
  <c r="I282" i="13" s="1"/>
  <c r="BS283" i="13"/>
  <c r="Y272" i="13"/>
  <c r="Y273" i="13" s="1"/>
  <c r="AA343" i="13"/>
  <c r="BT343" i="13" s="1"/>
  <c r="I343" i="13" s="1"/>
  <c r="BS241" i="13"/>
  <c r="BI273" i="13"/>
  <c r="BV273" i="13"/>
  <c r="AP272" i="13"/>
  <c r="H274" i="13"/>
  <c r="H276" i="13" s="1"/>
  <c r="BS313" i="13"/>
  <c r="H300" i="13"/>
  <c r="H313" i="13" s="1"/>
  <c r="BT283" i="13"/>
  <c r="Z313" i="13"/>
  <c r="AA350" i="13"/>
  <c r="BT344" i="13"/>
  <c r="Y354" i="13"/>
  <c r="Y282" i="13"/>
  <c r="AA313" i="13"/>
  <c r="Y337" i="13"/>
  <c r="H350" i="13"/>
  <c r="Y343" i="13"/>
  <c r="BU388" i="13"/>
  <c r="BU391" i="13" s="1"/>
  <c r="BT371" i="13"/>
  <c r="I366" i="13"/>
  <c r="I371" i="13" s="1"/>
  <c r="AA337" i="13"/>
  <c r="BT314" i="13"/>
  <c r="BV388" i="13"/>
  <c r="BV391" i="13" s="1"/>
  <c r="BT356" i="13"/>
  <c r="I355" i="13"/>
  <c r="I356" i="13" s="1"/>
  <c r="BT299" i="13"/>
  <c r="AW337" i="13"/>
  <c r="BR334" i="13"/>
  <c r="G334" i="13" s="1"/>
  <c r="BR365" i="13"/>
  <c r="G357" i="13"/>
  <c r="G365" i="13" s="1"/>
  <c r="H366" i="13"/>
  <c r="G351" i="13"/>
  <c r="I375" i="13"/>
  <c r="I377" i="13" s="1"/>
  <c r="BT377" i="13"/>
  <c r="BT379" i="13"/>
  <c r="I378" i="13"/>
  <c r="I379" i="13" s="1"/>
  <c r="G314" i="13"/>
  <c r="BT365" i="13"/>
  <c r="BS314" i="13"/>
  <c r="Z365" i="13"/>
  <c r="BS358" i="13"/>
  <c r="BR374" i="13"/>
  <c r="G373" i="13"/>
  <c r="G374" i="13" s="1"/>
  <c r="I382" i="13"/>
  <c r="BS343" i="13"/>
  <c r="H343" i="13" s="1"/>
  <c r="BR301" i="13"/>
  <c r="G301" i="13" s="1"/>
  <c r="BS374" i="13"/>
  <c r="H373" i="13"/>
  <c r="H374" i="13" s="1"/>
  <c r="BR382" i="13"/>
  <c r="G380" i="13"/>
  <c r="G382" i="13" s="1"/>
  <c r="BR325" i="13"/>
  <c r="G325" i="13" s="1"/>
  <c r="Y350" i="13"/>
  <c r="BR344" i="13"/>
  <c r="BO371" i="13"/>
  <c r="BR370" i="13"/>
  <c r="G370" i="13" s="1"/>
  <c r="BS382" i="13"/>
  <c r="H380" i="13"/>
  <c r="H382" i="13" s="1"/>
  <c r="BS351" i="13"/>
  <c r="Y374" i="13"/>
  <c r="BR377" i="13"/>
  <c r="BR378" i="13"/>
  <c r="Y382" i="13"/>
  <c r="BT351" i="13"/>
  <c r="M365" i="13"/>
  <c r="Y365" i="13"/>
  <c r="Z374" i="13"/>
  <c r="BS377" i="13"/>
  <c r="Z382" i="13"/>
  <c r="G355" i="13"/>
  <c r="G356" i="13" s="1"/>
  <c r="AA374" i="13"/>
  <c r="AA382" i="13"/>
  <c r="H355" i="13"/>
  <c r="H356" i="13" s="1"/>
  <c r="AA365" i="13"/>
  <c r="BS369" i="13"/>
  <c r="H369" i="13" s="1"/>
  <c r="BS350" i="13"/>
  <c r="BL365" i="13"/>
  <c r="G366" i="13"/>
  <c r="G371" i="13" s="1"/>
  <c r="BR352" i="13"/>
  <c r="G352" i="13" s="1"/>
  <c r="BR368" i="13"/>
  <c r="G368" i="13" s="1"/>
  <c r="BS352" i="13"/>
  <c r="H352" i="13" s="1"/>
  <c r="BT352" i="13"/>
  <c r="I352" i="13" s="1"/>
  <c r="H378" i="13"/>
  <c r="H379" i="13" s="1"/>
  <c r="H29" i="8"/>
  <c r="H32" i="8" s="1"/>
  <c r="E32" i="8"/>
  <c r="H8" i="8"/>
  <c r="H20" i="8"/>
  <c r="H31" i="8" s="1"/>
  <c r="J32" i="8"/>
  <c r="AY338" i="13" l="1"/>
  <c r="AY387" i="13" s="1"/>
  <c r="AY342" i="13"/>
  <c r="AY383" i="13" s="1"/>
  <c r="AY386" i="13" s="1"/>
  <c r="AY388" i="13" s="1"/>
  <c r="AY391" i="13" s="1"/>
  <c r="AT338" i="13"/>
  <c r="AT387" i="13" s="1"/>
  <c r="AT342" i="13"/>
  <c r="AT383" i="13" s="1"/>
  <c r="AT386" i="13" s="1"/>
  <c r="AT388" i="13" s="1"/>
  <c r="AT391" i="13" s="1"/>
  <c r="AN338" i="13"/>
  <c r="AN387" i="13" s="1"/>
  <c r="AN342" i="13"/>
  <c r="AN383" i="13" s="1"/>
  <c r="AN386" i="13" s="1"/>
  <c r="AN388" i="13" s="1"/>
  <c r="AN391" i="13" s="1"/>
  <c r="S342" i="13"/>
  <c r="S383" i="13" s="1"/>
  <c r="S386" i="13" s="1"/>
  <c r="S338" i="13"/>
  <c r="S387" i="13" s="1"/>
  <c r="V388" i="13"/>
  <c r="V391" i="13" s="1"/>
  <c r="BM388" i="13"/>
  <c r="BM391" i="13" s="1"/>
  <c r="AG388" i="13"/>
  <c r="AG391" i="13" s="1"/>
  <c r="BR379" i="13"/>
  <c r="G378" i="13"/>
  <c r="G379" i="13" s="1"/>
  <c r="BR337" i="13"/>
  <c r="G272" i="13"/>
  <c r="AH338" i="13"/>
  <c r="AH387" i="13" s="1"/>
  <c r="AH342" i="13"/>
  <c r="AH383" i="13" s="1"/>
  <c r="AH386" i="13" s="1"/>
  <c r="P388" i="13"/>
  <c r="P391" i="13" s="1"/>
  <c r="BR159" i="13"/>
  <c r="G109" i="13"/>
  <c r="G159" i="13" s="1"/>
  <c r="BS159" i="13"/>
  <c r="H109" i="13"/>
  <c r="H159" i="13" s="1"/>
  <c r="AW338" i="13"/>
  <c r="AW387" i="13" s="1"/>
  <c r="AW342" i="13"/>
  <c r="AW383" i="13" s="1"/>
  <c r="AW386" i="13" s="1"/>
  <c r="AW388" i="13" s="1"/>
  <c r="AW391" i="13" s="1"/>
  <c r="BT61" i="13"/>
  <c r="I61" i="13" s="1"/>
  <c r="BA388" i="13"/>
  <c r="BA391" i="13" s="1"/>
  <c r="BR253" i="13"/>
  <c r="BR273" i="13" s="1"/>
  <c r="BR272" i="13"/>
  <c r="AS342" i="13"/>
  <c r="AS383" i="13" s="1"/>
  <c r="AS386" i="13" s="1"/>
  <c r="AS388" i="13" s="1"/>
  <c r="AS391" i="13" s="1"/>
  <c r="AS338" i="13"/>
  <c r="AS387" i="13" s="1"/>
  <c r="BG388" i="13"/>
  <c r="BG391" i="13" s="1"/>
  <c r="X388" i="13"/>
  <c r="X391" i="13" s="1"/>
  <c r="AX388" i="13"/>
  <c r="AX391" i="13" s="1"/>
  <c r="AO388" i="13"/>
  <c r="AO391" i="13" s="1"/>
  <c r="O388" i="13"/>
  <c r="O391" i="13" s="1"/>
  <c r="AU388" i="13"/>
  <c r="AU391" i="13" s="1"/>
  <c r="BB338" i="13"/>
  <c r="BB387" i="13" s="1"/>
  <c r="BB342" i="13"/>
  <c r="BB383" i="13" s="1"/>
  <c r="BB386" i="13" s="1"/>
  <c r="BB388" i="13" s="1"/>
  <c r="BB391" i="13" s="1"/>
  <c r="H351" i="13"/>
  <c r="H354" i="13" s="1"/>
  <c r="BS354" i="13"/>
  <c r="I299" i="13"/>
  <c r="I313" i="13" s="1"/>
  <c r="BT313" i="13"/>
  <c r="AA298" i="13"/>
  <c r="AA338" i="13" s="1"/>
  <c r="AA387" i="13" s="1"/>
  <c r="AB383" i="13"/>
  <c r="AB386" i="13" s="1"/>
  <c r="AB388" i="13" s="1"/>
  <c r="AB391" i="13" s="1"/>
  <c r="BR108" i="13"/>
  <c r="AQ388" i="13"/>
  <c r="AQ391" i="13" s="1"/>
  <c r="AF388" i="13"/>
  <c r="AF391" i="13" s="1"/>
  <c r="AC383" i="13"/>
  <c r="AC386" i="13" s="1"/>
  <c r="AC388" i="13" s="1"/>
  <c r="AC391" i="13" s="1"/>
  <c r="AR388" i="13"/>
  <c r="AR391" i="13" s="1"/>
  <c r="K342" i="13"/>
  <c r="K338" i="13"/>
  <c r="K387" i="13" s="1"/>
  <c r="L342" i="13"/>
  <c r="L338" i="13"/>
  <c r="L387" i="13" s="1"/>
  <c r="G337" i="13"/>
  <c r="AZ388" i="13"/>
  <c r="AZ391" i="13" s="1"/>
  <c r="BR371" i="13"/>
  <c r="I6" i="13"/>
  <c r="I14" i="13" s="1"/>
  <c r="I63" i="13" s="1"/>
  <c r="BT14" i="13"/>
  <c r="BT63" i="13" s="1"/>
  <c r="BT108" i="13"/>
  <c r="Y298" i="13"/>
  <c r="BT174" i="13"/>
  <c r="H175" i="13"/>
  <c r="H203" i="13" s="1"/>
  <c r="H240" i="13" s="1"/>
  <c r="BS203" i="13"/>
  <c r="BS240" i="13" s="1"/>
  <c r="BT239" i="13"/>
  <c r="G6" i="13"/>
  <c r="G14" i="13" s="1"/>
  <c r="G63" i="13" s="1"/>
  <c r="G338" i="13" s="1"/>
  <c r="G387" i="13" s="1"/>
  <c r="BR14" i="13"/>
  <c r="BR63" i="13" s="1"/>
  <c r="U342" i="13"/>
  <c r="U383" i="13" s="1"/>
  <c r="U386" i="13" s="1"/>
  <c r="U388" i="13" s="1"/>
  <c r="U391" i="13" s="1"/>
  <c r="U338" i="13"/>
  <c r="U387" i="13" s="1"/>
  <c r="Y63" i="13"/>
  <c r="Y338" i="13" s="1"/>
  <c r="Y387" i="13" s="1"/>
  <c r="M383" i="13"/>
  <c r="M386" i="13" s="1"/>
  <c r="M388" i="13" s="1"/>
  <c r="M391" i="13" s="1"/>
  <c r="BE388" i="13"/>
  <c r="BE391" i="13" s="1"/>
  <c r="AI388" i="13"/>
  <c r="AI391" i="13" s="1"/>
  <c r="BS253" i="13"/>
  <c r="H241" i="13"/>
  <c r="H253" i="13" s="1"/>
  <c r="H273" i="13" s="1"/>
  <c r="BS272" i="13"/>
  <c r="H254" i="13"/>
  <c r="H272" i="13" s="1"/>
  <c r="AK388" i="13"/>
  <c r="AK391" i="13" s="1"/>
  <c r="N388" i="13"/>
  <c r="N391" i="13" s="1"/>
  <c r="AM338" i="13"/>
  <c r="AM387" i="13" s="1"/>
  <c r="AM342" i="13"/>
  <c r="AM383" i="13" s="1"/>
  <c r="AM386" i="13" s="1"/>
  <c r="BR354" i="13"/>
  <c r="I344" i="13"/>
  <c r="I350" i="13" s="1"/>
  <c r="BT350" i="13"/>
  <c r="G253" i="13"/>
  <c r="G273" i="13" s="1"/>
  <c r="BR239" i="13"/>
  <c r="G204" i="13"/>
  <c r="G239" i="13" s="1"/>
  <c r="H6" i="13"/>
  <c r="H14" i="13" s="1"/>
  <c r="H63" i="13" s="1"/>
  <c r="BS14" i="13"/>
  <c r="BT203" i="13"/>
  <c r="BT240" i="13" s="1"/>
  <c r="I175" i="13"/>
  <c r="I203" i="13" s="1"/>
  <c r="I240" i="13" s="1"/>
  <c r="I159" i="13"/>
  <c r="BT159" i="13"/>
  <c r="AJ388" i="13"/>
  <c r="AJ391" i="13" s="1"/>
  <c r="BS61" i="13"/>
  <c r="H61" i="13" s="1"/>
  <c r="H108" i="13"/>
  <c r="G344" i="13"/>
  <c r="G350" i="13" s="1"/>
  <c r="BR350" i="13"/>
  <c r="H358" i="13"/>
  <c r="H365" i="13" s="1"/>
  <c r="BS365" i="13"/>
  <c r="G354" i="13"/>
  <c r="BT337" i="13"/>
  <c r="I314" i="13"/>
  <c r="I337" i="13" s="1"/>
  <c r="BR297" i="13"/>
  <c r="BR298" i="13" s="1"/>
  <c r="G283" i="13"/>
  <c r="G297" i="13" s="1"/>
  <c r="G175" i="13"/>
  <c r="G203" i="13" s="1"/>
  <c r="G240" i="13" s="1"/>
  <c r="BR203" i="13"/>
  <c r="AE388" i="13"/>
  <c r="AE391" i="13" s="1"/>
  <c r="Q338" i="13"/>
  <c r="Q387" i="13" s="1"/>
  <c r="Q342" i="13"/>
  <c r="Q383" i="13" s="1"/>
  <c r="Q386" i="13" s="1"/>
  <c r="Q388" i="13" s="1"/>
  <c r="Q391" i="13" s="1"/>
  <c r="AL338" i="13"/>
  <c r="AL387" i="13" s="1"/>
  <c r="AL342" i="13"/>
  <c r="AL383" i="13" s="1"/>
  <c r="AL386" i="13" s="1"/>
  <c r="AL388" i="13" s="1"/>
  <c r="AL391" i="13" s="1"/>
  <c r="AD338" i="13"/>
  <c r="AD387" i="13" s="1"/>
  <c r="AD342" i="13"/>
  <c r="BS108" i="13"/>
  <c r="BS297" i="13"/>
  <c r="BS298" i="13" s="1"/>
  <c r="H283" i="13"/>
  <c r="H297" i="13" s="1"/>
  <c r="H298" i="13" s="1"/>
  <c r="G299" i="13"/>
  <c r="G313" i="13" s="1"/>
  <c r="BR313" i="13"/>
  <c r="H160" i="13"/>
  <c r="H166" i="13" s="1"/>
  <c r="H174" i="13" s="1"/>
  <c r="BS166" i="13"/>
  <c r="BS174" i="13" s="1"/>
  <c r="BL383" i="13"/>
  <c r="BL386" i="13" s="1"/>
  <c r="BL388" i="13" s="1"/>
  <c r="BL391" i="13" s="1"/>
  <c r="BO383" i="13"/>
  <c r="BO386" i="13" s="1"/>
  <c r="BO388" i="13" s="1"/>
  <c r="BO391" i="13" s="1"/>
  <c r="BC342" i="13"/>
  <c r="BC383" i="13" s="1"/>
  <c r="BC386" i="13" s="1"/>
  <c r="BC388" i="13" s="1"/>
  <c r="BC391" i="13" s="1"/>
  <c r="BC338" i="13"/>
  <c r="BC387" i="13" s="1"/>
  <c r="BN338" i="13"/>
  <c r="BN387" i="13" s="1"/>
  <c r="BN342" i="13"/>
  <c r="BN383" i="13" s="1"/>
  <c r="BN386" i="13" s="1"/>
  <c r="BF388" i="13"/>
  <c r="BF391" i="13" s="1"/>
  <c r="BH342" i="13"/>
  <c r="BH383" i="13" s="1"/>
  <c r="BH386" i="13" s="1"/>
  <c r="BH338" i="13"/>
  <c r="BH387" i="13" s="1"/>
  <c r="J63" i="13"/>
  <c r="H371" i="13"/>
  <c r="BT354" i="13"/>
  <c r="I351" i="13"/>
  <c r="I354" i="13" s="1"/>
  <c r="H314" i="13"/>
  <c r="H337" i="13" s="1"/>
  <c r="BS337" i="13"/>
  <c r="BS371" i="13"/>
  <c r="BT297" i="13"/>
  <c r="BT298" i="13" s="1"/>
  <c r="I283" i="13"/>
  <c r="I297" i="13" s="1"/>
  <c r="I298" i="13" s="1"/>
  <c r="G298" i="13"/>
  <c r="Z174" i="13"/>
  <c r="Z338" i="13" s="1"/>
  <c r="Z387" i="13" s="1"/>
  <c r="AV342" i="13"/>
  <c r="AV383" i="13" s="1"/>
  <c r="AV386" i="13" s="1"/>
  <c r="AV388" i="13" s="1"/>
  <c r="AV391" i="13" s="1"/>
  <c r="AV338" i="13"/>
  <c r="AV387" i="13" s="1"/>
  <c r="AP338" i="13"/>
  <c r="AP387" i="13" s="1"/>
  <c r="AP342" i="13"/>
  <c r="AP383" i="13" s="1"/>
  <c r="AP386" i="13" s="1"/>
  <c r="AP388" i="13" s="1"/>
  <c r="AP391" i="13" s="1"/>
  <c r="BQ388" i="13"/>
  <c r="BQ391" i="13" s="1"/>
  <c r="BS63" i="13" l="1"/>
  <c r="BS338" i="13" s="1"/>
  <c r="BS387" i="13" s="1"/>
  <c r="L383" i="13"/>
  <c r="L386" i="13" s="1"/>
  <c r="L388" i="13" s="1"/>
  <c r="L391" i="13" s="1"/>
  <c r="AA342" i="13"/>
  <c r="AA383" i="13" s="1"/>
  <c r="AA386" i="13" s="1"/>
  <c r="AA388" i="13" s="1"/>
  <c r="AA391" i="13" s="1"/>
  <c r="H338" i="13"/>
  <c r="H387" i="13" s="1"/>
  <c r="K383" i="13"/>
  <c r="K386" i="13" s="1"/>
  <c r="K388" i="13" s="1"/>
  <c r="K391" i="13" s="1"/>
  <c r="Z342" i="13"/>
  <c r="Z383" i="13" s="1"/>
  <c r="Z386" i="13" s="1"/>
  <c r="Z388" i="13" s="1"/>
  <c r="Z391" i="13" s="1"/>
  <c r="AH388" i="13"/>
  <c r="AH391" i="13" s="1"/>
  <c r="S388" i="13"/>
  <c r="S391" i="13" s="1"/>
  <c r="BS273" i="13"/>
  <c r="BS342" i="13"/>
  <c r="J338" i="13"/>
  <c r="J387" i="13" s="1"/>
  <c r="J342" i="13"/>
  <c r="BR240" i="13"/>
  <c r="BR338" i="13" s="1"/>
  <c r="BR387" i="13" s="1"/>
  <c r="BT338" i="13"/>
  <c r="BT387" i="13" s="1"/>
  <c r="I338" i="13"/>
  <c r="I387" i="13" s="1"/>
  <c r="AD383" i="13"/>
  <c r="AD386" i="13" s="1"/>
  <c r="AD388" i="13" s="1"/>
  <c r="AD391" i="13" s="1"/>
  <c r="BH388" i="13"/>
  <c r="BH391" i="13" s="1"/>
  <c r="AM388" i="13"/>
  <c r="AM391" i="13" s="1"/>
  <c r="BN388" i="13"/>
  <c r="BN391" i="13" s="1"/>
  <c r="BS383" i="13" l="1"/>
  <c r="BS386" i="13" s="1"/>
  <c r="BS388" i="13" s="1"/>
  <c r="BS391" i="13" s="1"/>
  <c r="H342" i="13"/>
  <c r="H383" i="13" s="1"/>
  <c r="H386" i="13" s="1"/>
  <c r="H388" i="13" s="1"/>
  <c r="H391" i="13" s="1"/>
  <c r="J383" i="13"/>
  <c r="J386" i="13" s="1"/>
  <c r="J388" i="13" s="1"/>
  <c r="J391" i="13" s="1"/>
  <c r="Y342" i="13"/>
  <c r="BT342" i="13"/>
  <c r="BT383" i="13" l="1"/>
  <c r="BT386" i="13" s="1"/>
  <c r="BT388" i="13" s="1"/>
  <c r="BT391" i="13" s="1"/>
  <c r="I342" i="13"/>
  <c r="I383" i="13" s="1"/>
  <c r="I386" i="13" s="1"/>
  <c r="I388" i="13" s="1"/>
  <c r="I391" i="13" s="1"/>
  <c r="Y383" i="13"/>
  <c r="Y386" i="13" s="1"/>
  <c r="Y388" i="13" s="1"/>
  <c r="Y391" i="13" s="1"/>
  <c r="BR342" i="13"/>
  <c r="BR383" i="13" l="1"/>
  <c r="BR386" i="13" s="1"/>
  <c r="BR388" i="13" s="1"/>
  <c r="BR391" i="13" s="1"/>
  <c r="G342" i="13"/>
  <c r="G383" i="13" s="1"/>
  <c r="G386" i="13" s="1"/>
  <c r="G388" i="13" s="1"/>
  <c r="G391" i="13" s="1"/>
  <c r="L55" i="12" l="1"/>
  <c r="L54" i="12"/>
  <c r="L50" i="12"/>
  <c r="L48" i="12"/>
  <c r="L46" i="12"/>
  <c r="L45" i="12"/>
  <c r="E13" i="12"/>
  <c r="L44" i="12"/>
  <c r="L43" i="12"/>
  <c r="L41" i="12"/>
  <c r="L36" i="12"/>
  <c r="L34" i="12"/>
  <c r="L32" i="12"/>
  <c r="L21" i="12"/>
  <c r="L29" i="12"/>
  <c r="L18" i="12"/>
  <c r="L14" i="12"/>
  <c r="L13" i="12"/>
  <c r="L12" i="12"/>
  <c r="L11" i="12"/>
  <c r="L10" i="12"/>
  <c r="L8" i="12"/>
  <c r="L7" i="12"/>
  <c r="L6" i="12"/>
  <c r="K55" i="12"/>
  <c r="K54" i="12"/>
  <c r="K50" i="12"/>
  <c r="K48" i="12"/>
  <c r="K46" i="12"/>
  <c r="K45" i="12"/>
  <c r="K44" i="12"/>
  <c r="K43" i="12"/>
  <c r="K41" i="12"/>
  <c r="K36" i="12"/>
  <c r="K34" i="12"/>
  <c r="K32" i="12"/>
  <c r="K29" i="12"/>
  <c r="K21" i="12"/>
  <c r="K18" i="12"/>
  <c r="K14" i="12"/>
  <c r="K13" i="12"/>
  <c r="K12" i="12"/>
  <c r="K11" i="12"/>
  <c r="K10" i="12"/>
  <c r="K8" i="12"/>
  <c r="K7" i="12"/>
  <c r="K6" i="12"/>
  <c r="I55" i="12"/>
  <c r="I54" i="12"/>
  <c r="I50" i="12"/>
  <c r="I48" i="12"/>
  <c r="I46" i="12"/>
  <c r="I45" i="12"/>
  <c r="I44" i="12"/>
  <c r="I43" i="12"/>
  <c r="I41" i="12"/>
  <c r="I36" i="12"/>
  <c r="I34" i="12"/>
  <c r="I32" i="12"/>
  <c r="I29" i="12"/>
  <c r="I21" i="12"/>
  <c r="I18" i="12"/>
  <c r="I14" i="12"/>
  <c r="I13" i="12"/>
  <c r="I12" i="12"/>
  <c r="I11" i="12"/>
  <c r="I10" i="12"/>
  <c r="I8" i="12"/>
  <c r="I7" i="12"/>
  <c r="I6" i="12"/>
  <c r="H55" i="12"/>
  <c r="H54" i="12"/>
  <c r="H50" i="12"/>
  <c r="H48" i="12"/>
  <c r="H46" i="12"/>
  <c r="H45" i="12"/>
  <c r="H44" i="12"/>
  <c r="H43" i="12"/>
  <c r="H41" i="12"/>
  <c r="H36" i="12"/>
  <c r="H34" i="12"/>
  <c r="H32" i="12"/>
  <c r="H29" i="12"/>
  <c r="H21" i="12"/>
  <c r="H18" i="12"/>
  <c r="H14" i="12"/>
  <c r="H13" i="12"/>
  <c r="H12" i="12"/>
  <c r="H11" i="12"/>
  <c r="H10" i="12"/>
  <c r="H8" i="12"/>
  <c r="H7" i="12"/>
  <c r="H6" i="12"/>
  <c r="G55" i="12"/>
  <c r="G54" i="12"/>
  <c r="G50" i="12"/>
  <c r="G48" i="12"/>
  <c r="G46" i="12"/>
  <c r="G45" i="12"/>
  <c r="G44" i="12"/>
  <c r="G43" i="12"/>
  <c r="G41" i="12"/>
  <c r="G36" i="12"/>
  <c r="G34" i="12"/>
  <c r="G32" i="12"/>
  <c r="G29" i="12"/>
  <c r="G21" i="12"/>
  <c r="G18" i="12"/>
  <c r="G14" i="12"/>
  <c r="G13" i="12"/>
  <c r="G12" i="12"/>
  <c r="G11" i="12"/>
  <c r="G10" i="12"/>
  <c r="G8" i="12"/>
  <c r="G7" i="12"/>
  <c r="G6" i="12"/>
  <c r="F55" i="12"/>
  <c r="F54" i="12"/>
  <c r="F50" i="12"/>
  <c r="F48" i="12"/>
  <c r="F46" i="12"/>
  <c r="F45" i="12"/>
  <c r="F44" i="12"/>
  <c r="F43" i="12"/>
  <c r="F41" i="12"/>
  <c r="F36" i="12"/>
  <c r="F34" i="12"/>
  <c r="F32" i="12"/>
  <c r="F29" i="12"/>
  <c r="F21" i="12"/>
  <c r="F18" i="12"/>
  <c r="F14" i="12"/>
  <c r="F13" i="12"/>
  <c r="F12" i="12"/>
  <c r="F11" i="12"/>
  <c r="F10" i="12"/>
  <c r="F8" i="12"/>
  <c r="F7" i="12"/>
  <c r="F6" i="12"/>
  <c r="M48" i="12"/>
  <c r="M46" i="12"/>
  <c r="M44" i="12"/>
  <c r="M32" i="12"/>
  <c r="M18" i="12"/>
  <c r="M14" i="12"/>
  <c r="M13" i="12"/>
  <c r="M12" i="12"/>
  <c r="M11" i="12"/>
  <c r="M10" i="12"/>
  <c r="M8" i="12"/>
  <c r="M7" i="12"/>
  <c r="M6" i="12"/>
  <c r="N29" i="12"/>
  <c r="N18" i="12"/>
  <c r="O54" i="12"/>
  <c r="O46" i="12"/>
  <c r="O44" i="12"/>
  <c r="O11" i="12"/>
  <c r="E55" i="12"/>
  <c r="E54" i="12"/>
  <c r="E50" i="12"/>
  <c r="E48" i="12"/>
  <c r="E46" i="12"/>
  <c r="E45" i="12"/>
  <c r="E44" i="12"/>
  <c r="E43" i="12"/>
  <c r="E41" i="12"/>
  <c r="E36" i="12"/>
  <c r="E34" i="12"/>
  <c r="E32" i="12"/>
  <c r="E29" i="12"/>
  <c r="E21" i="12"/>
  <c r="E18" i="12"/>
  <c r="E14" i="12"/>
  <c r="E12" i="12"/>
  <c r="E11" i="12"/>
  <c r="E10" i="12"/>
  <c r="E8" i="12"/>
  <c r="E7" i="12"/>
  <c r="E6" i="12"/>
  <c r="D55" i="12"/>
  <c r="D54" i="12"/>
  <c r="D50" i="12"/>
  <c r="D48" i="12"/>
  <c r="D46" i="12"/>
  <c r="D45" i="12"/>
  <c r="D44" i="12"/>
  <c r="D43" i="12"/>
  <c r="D41" i="12"/>
  <c r="D36" i="12"/>
  <c r="D34" i="12"/>
  <c r="D32" i="12"/>
  <c r="D29" i="12"/>
  <c r="D21" i="12"/>
  <c r="D18" i="12"/>
  <c r="D14" i="12"/>
  <c r="D13" i="12"/>
  <c r="D12" i="12"/>
  <c r="D11" i="12"/>
  <c r="D10" i="12"/>
  <c r="D8" i="12"/>
  <c r="D7" i="12"/>
  <c r="D6" i="12"/>
  <c r="H917" i="2" l="1"/>
  <c r="I917" i="2"/>
  <c r="G917" i="2"/>
  <c r="R55" i="12"/>
  <c r="R54" i="12"/>
  <c r="R50" i="12"/>
  <c r="R48" i="12"/>
  <c r="R46" i="12"/>
  <c r="R45" i="12"/>
  <c r="R44" i="12"/>
  <c r="R43" i="12"/>
  <c r="R41" i="12"/>
  <c r="R36" i="12"/>
  <c r="R34" i="12"/>
  <c r="R32" i="12"/>
  <c r="R29" i="12"/>
  <c r="R21" i="12"/>
  <c r="R18" i="12"/>
  <c r="R14" i="12"/>
  <c r="R13" i="12"/>
  <c r="R12" i="12"/>
  <c r="R11" i="12"/>
  <c r="R10" i="12"/>
  <c r="R8" i="12"/>
  <c r="R7" i="12"/>
  <c r="R6" i="12"/>
  <c r="Q63" i="12"/>
  <c r="Q55" i="12"/>
  <c r="Q54" i="12"/>
  <c r="Q50" i="12"/>
  <c r="Q48" i="12"/>
  <c r="Q46" i="12"/>
  <c r="Q45" i="12"/>
  <c r="Q44" i="12"/>
  <c r="Q43" i="12"/>
  <c r="Q41" i="12"/>
  <c r="Q36" i="12"/>
  <c r="Q34" i="12"/>
  <c r="Q32" i="12"/>
  <c r="Q29" i="12"/>
  <c r="Q21" i="12"/>
  <c r="Q18" i="12"/>
  <c r="Q14" i="12"/>
  <c r="Q13" i="12"/>
  <c r="Q12" i="12"/>
  <c r="Q11" i="12"/>
  <c r="Q10" i="12"/>
  <c r="Q8" i="12"/>
  <c r="Q7" i="12"/>
  <c r="Q6" i="12"/>
  <c r="G370" i="2"/>
  <c r="H370" i="2"/>
  <c r="I370" i="2"/>
  <c r="G697" i="2" l="1"/>
  <c r="H697" i="2"/>
  <c r="I697" i="2"/>
  <c r="G703" i="2"/>
  <c r="H703" i="2"/>
  <c r="I703" i="2"/>
  <c r="G441" i="2"/>
  <c r="H441" i="2"/>
  <c r="I441" i="2"/>
  <c r="Q22" i="9"/>
  <c r="R22" i="9" l="1"/>
  <c r="R11" i="9"/>
  <c r="I82" i="2"/>
  <c r="H773" i="2" l="1"/>
  <c r="J5" i="12" l="1"/>
  <c r="J9" i="12"/>
  <c r="J15" i="12"/>
  <c r="J19" i="12"/>
  <c r="J23" i="12"/>
  <c r="J30" i="12"/>
  <c r="J33" i="12"/>
  <c r="J39" i="12"/>
  <c r="J42" i="12"/>
  <c r="J49" i="12"/>
  <c r="J51" i="12"/>
  <c r="J53" i="12"/>
  <c r="J59" i="12"/>
  <c r="J63" i="12"/>
  <c r="R35" i="9"/>
  <c r="R34" i="9"/>
  <c r="R32" i="9"/>
  <c r="R31" i="9"/>
  <c r="R29" i="9"/>
  <c r="R27" i="9"/>
  <c r="R25" i="9"/>
  <c r="R23" i="9"/>
  <c r="R21" i="9"/>
  <c r="R20" i="9"/>
  <c r="R17" i="9"/>
  <c r="R16" i="9"/>
  <c r="R15" i="9"/>
  <c r="R14" i="9"/>
  <c r="R13" i="9"/>
  <c r="R12" i="9"/>
  <c r="R63" i="12"/>
  <c r="R59" i="12"/>
  <c r="R51" i="12"/>
  <c r="R49" i="12"/>
  <c r="R39" i="12"/>
  <c r="R30" i="12"/>
  <c r="R23" i="12"/>
  <c r="R19" i="12"/>
  <c r="R15" i="12"/>
  <c r="R33" i="9" l="1"/>
  <c r="D10" i="10" s="1"/>
  <c r="R26" i="9"/>
  <c r="D9" i="10" s="1"/>
  <c r="R36" i="9"/>
  <c r="D21" i="10" s="1"/>
  <c r="J4" i="12"/>
  <c r="J38" i="12"/>
  <c r="J58" i="12"/>
  <c r="R33" i="12"/>
  <c r="R5" i="12"/>
  <c r="R53" i="12"/>
  <c r="R9" i="12"/>
  <c r="R42" i="12"/>
  <c r="R58" i="12"/>
  <c r="R38" i="12" l="1"/>
  <c r="D13" i="10" s="1"/>
  <c r="R6" i="9"/>
  <c r="R8" i="9" s="1"/>
  <c r="R37" i="9"/>
  <c r="J3" i="12"/>
  <c r="R4" i="12"/>
  <c r="D12" i="10" s="1"/>
  <c r="Q35" i="9"/>
  <c r="Q34" i="9"/>
  <c r="H971" i="2"/>
  <c r="I971" i="2"/>
  <c r="G971" i="2"/>
  <c r="R3" i="12" l="1"/>
  <c r="R9" i="9" s="1"/>
  <c r="R10" i="9" s="1"/>
  <c r="Q32" i="9"/>
  <c r="Q31" i="9"/>
  <c r="Q29" i="9"/>
  <c r="Q27" i="9"/>
  <c r="Q25" i="9"/>
  <c r="Q21" i="9"/>
  <c r="Q20" i="9"/>
  <c r="Q17" i="9"/>
  <c r="Q16" i="9"/>
  <c r="Q15" i="9"/>
  <c r="Q14" i="9"/>
  <c r="Q13" i="9"/>
  <c r="Q12" i="9"/>
  <c r="Q11" i="9"/>
  <c r="P34" i="9"/>
  <c r="O32" i="9"/>
  <c r="O31" i="9"/>
  <c r="O27" i="9"/>
  <c r="N22" i="9"/>
  <c r="L17" i="9"/>
  <c r="L12" i="9"/>
  <c r="K12" i="9"/>
  <c r="I17" i="9"/>
  <c r="I16" i="9"/>
  <c r="I15" i="9"/>
  <c r="I14" i="9"/>
  <c r="I13" i="9"/>
  <c r="I11" i="9"/>
  <c r="H12" i="9"/>
  <c r="G25" i="9"/>
  <c r="G17" i="9"/>
  <c r="G20" i="9"/>
  <c r="F25" i="9"/>
  <c r="F21" i="9"/>
  <c r="F17" i="9"/>
  <c r="Q23" i="9"/>
  <c r="E23" i="9"/>
  <c r="D23" i="9"/>
  <c r="H848" i="2" l="1"/>
  <c r="I848" i="2"/>
  <c r="G848" i="2"/>
  <c r="H779" i="2"/>
  <c r="I779" i="2"/>
  <c r="G779" i="2"/>
  <c r="H301" i="2"/>
  <c r="H371" i="2" s="1"/>
  <c r="I301" i="2"/>
  <c r="I371" i="2" s="1"/>
  <c r="I918" i="2" l="1"/>
  <c r="G918" i="2"/>
  <c r="H918" i="2"/>
  <c r="I773" i="2" l="1"/>
  <c r="I559" i="2"/>
  <c r="H510" i="2"/>
  <c r="H511" i="2" s="1"/>
  <c r="I510" i="2"/>
  <c r="I511" i="2" s="1"/>
  <c r="I153" i="2"/>
  <c r="I980" i="2" l="1"/>
  <c r="H980" i="2"/>
  <c r="G980" i="2"/>
  <c r="I974" i="2"/>
  <c r="H974" i="2"/>
  <c r="G974" i="2"/>
  <c r="I961" i="2"/>
  <c r="H961" i="2"/>
  <c r="G961" i="2"/>
  <c r="I953" i="2"/>
  <c r="H953" i="2"/>
  <c r="G953" i="2"/>
  <c r="I942" i="2"/>
  <c r="H942" i="2"/>
  <c r="G942" i="2"/>
  <c r="I939" i="2"/>
  <c r="H939" i="2"/>
  <c r="G939" i="2"/>
  <c r="I930" i="2"/>
  <c r="H930" i="2"/>
  <c r="G930" i="2"/>
  <c r="G773" i="2"/>
  <c r="I628" i="2"/>
  <c r="I704" i="2" s="1"/>
  <c r="H628" i="2"/>
  <c r="H704" i="2" s="1"/>
  <c r="G628" i="2"/>
  <c r="G704" i="2" s="1"/>
  <c r="H559" i="2"/>
  <c r="G559" i="2"/>
  <c r="I554" i="2"/>
  <c r="H554" i="2"/>
  <c r="G554" i="2"/>
  <c r="I519" i="2"/>
  <c r="H519" i="2"/>
  <c r="G519" i="2"/>
  <c r="G510" i="2"/>
  <c r="G511" i="2" s="1"/>
  <c r="I290" i="2"/>
  <c r="I291" i="2" s="1"/>
  <c r="H290" i="2"/>
  <c r="G290" i="2"/>
  <c r="I221" i="2"/>
  <c r="H221" i="2"/>
  <c r="G221" i="2"/>
  <c r="H153" i="2"/>
  <c r="G153" i="2"/>
  <c r="H82" i="2"/>
  <c r="G82" i="2"/>
  <c r="I14" i="2"/>
  <c r="I85" i="2" s="1"/>
  <c r="H14" i="2"/>
  <c r="G14" i="2"/>
  <c r="H85" i="2" l="1"/>
  <c r="G550" i="2"/>
  <c r="G291" i="2"/>
  <c r="H550" i="2"/>
  <c r="G85" i="2"/>
  <c r="H291" i="2"/>
  <c r="I550" i="2"/>
  <c r="G301" i="2"/>
  <c r="G371" i="2" s="1"/>
  <c r="I981" i="2"/>
  <c r="I984" i="2" s="1"/>
  <c r="G981" i="2"/>
  <c r="G984" i="2" s="1"/>
  <c r="H981" i="2"/>
  <c r="H984" i="2" s="1"/>
  <c r="I919" i="2" l="1"/>
  <c r="I985" i="2" s="1"/>
  <c r="H919" i="2"/>
  <c r="H985" i="2" s="1"/>
  <c r="H986" i="2" s="1"/>
  <c r="H989" i="2" l="1"/>
  <c r="I986" i="2"/>
  <c r="Q49" i="12" l="1"/>
  <c r="D49" i="12" l="1"/>
  <c r="E49" i="12"/>
  <c r="F49" i="12"/>
  <c r="G49" i="12"/>
  <c r="H49" i="12"/>
  <c r="I49" i="12"/>
  <c r="K49" i="12"/>
  <c r="L49" i="12"/>
  <c r="M49" i="12"/>
  <c r="N49" i="12"/>
  <c r="O49" i="12"/>
  <c r="P49" i="12"/>
  <c r="C50" i="12"/>
  <c r="S50" i="12" s="1"/>
  <c r="D51" i="12"/>
  <c r="E51" i="12"/>
  <c r="F51" i="12"/>
  <c r="G51" i="12"/>
  <c r="H51" i="12"/>
  <c r="I51" i="12"/>
  <c r="K51" i="12"/>
  <c r="L51" i="12"/>
  <c r="M51" i="12"/>
  <c r="N51" i="12"/>
  <c r="O51" i="12"/>
  <c r="P51" i="12"/>
  <c r="Q51" i="12"/>
  <c r="C52" i="12"/>
  <c r="S52" i="12" s="1"/>
  <c r="C47" i="12"/>
  <c r="S47" i="12" s="1"/>
  <c r="C31" i="12"/>
  <c r="S31" i="12" s="1"/>
  <c r="C51" i="12" l="1"/>
  <c r="S51" i="12" s="1"/>
  <c r="C49" i="12"/>
  <c r="S49" i="12" s="1"/>
  <c r="J9" i="9" l="1"/>
  <c r="P9" i="9"/>
  <c r="J26" i="9" l="1"/>
  <c r="J33" i="9"/>
  <c r="J36" i="9"/>
  <c r="J6" i="9" l="1"/>
  <c r="J37" i="9"/>
  <c r="J8" i="9"/>
  <c r="J10" i="9" s="1"/>
  <c r="Q59" i="12"/>
  <c r="Q53" i="12"/>
  <c r="G63" i="12"/>
  <c r="O63" i="12"/>
  <c r="C61" i="12"/>
  <c r="S61" i="12" s="1"/>
  <c r="P59" i="12"/>
  <c r="M59" i="12"/>
  <c r="I59" i="12"/>
  <c r="F59" i="12"/>
  <c r="D59" i="12"/>
  <c r="G59" i="12"/>
  <c r="H53" i="12"/>
  <c r="C55" i="12"/>
  <c r="S55" i="12" s="1"/>
  <c r="O39" i="12"/>
  <c r="K39" i="12"/>
  <c r="G39" i="12"/>
  <c r="P39" i="12"/>
  <c r="M39" i="12"/>
  <c r="L39" i="12"/>
  <c r="I39" i="12"/>
  <c r="H39" i="12"/>
  <c r="H33" i="12"/>
  <c r="P30" i="12"/>
  <c r="L30" i="12"/>
  <c r="H30" i="12"/>
  <c r="D30" i="12"/>
  <c r="C27" i="12"/>
  <c r="S27" i="12" s="1"/>
  <c r="C21" i="12"/>
  <c r="H19" i="12"/>
  <c r="N15" i="12"/>
  <c r="L15" i="12"/>
  <c r="F15" i="12"/>
  <c r="O9" i="12"/>
  <c r="K9" i="12"/>
  <c r="G9" i="12"/>
  <c r="P5" i="12"/>
  <c r="L5" i="12"/>
  <c r="H5" i="12"/>
  <c r="P19" i="12" l="1"/>
  <c r="K23" i="12"/>
  <c r="C36" i="12"/>
  <c r="K59" i="12"/>
  <c r="Q58" i="12"/>
  <c r="C22" i="10" s="1"/>
  <c r="G53" i="12"/>
  <c r="O53" i="12"/>
  <c r="H59" i="12"/>
  <c r="L59" i="12"/>
  <c r="F39" i="12"/>
  <c r="N39" i="12"/>
  <c r="D39" i="12"/>
  <c r="O59" i="12"/>
  <c r="O58" i="12" s="1"/>
  <c r="C65" i="12"/>
  <c r="S65" i="12" s="1"/>
  <c r="K63" i="12"/>
  <c r="C68" i="12"/>
  <c r="S68" i="12" s="1"/>
  <c r="F5" i="12"/>
  <c r="N5" i="12"/>
  <c r="H15" i="12"/>
  <c r="P15" i="12"/>
  <c r="G33" i="12"/>
  <c r="K33" i="12"/>
  <c r="O33" i="12"/>
  <c r="L53" i="12"/>
  <c r="P53" i="12"/>
  <c r="F63" i="12"/>
  <c r="F58" i="12" s="1"/>
  <c r="N63" i="12"/>
  <c r="L9" i="12"/>
  <c r="K15" i="12"/>
  <c r="G19" i="12"/>
  <c r="K19" i="12"/>
  <c r="O19" i="12"/>
  <c r="C25" i="12"/>
  <c r="S25" i="12" s="1"/>
  <c r="C26" i="12"/>
  <c r="S26" i="12" s="1"/>
  <c r="G30" i="12"/>
  <c r="K30" i="12"/>
  <c r="O30" i="12"/>
  <c r="F30" i="12"/>
  <c r="N30" i="12"/>
  <c r="D33" i="12"/>
  <c r="L33" i="12"/>
  <c r="P33" i="12"/>
  <c r="C41" i="12"/>
  <c r="F42" i="12"/>
  <c r="M42" i="12"/>
  <c r="N42" i="12"/>
  <c r="F53" i="12"/>
  <c r="N53" i="12"/>
  <c r="D63" i="12"/>
  <c r="H63" i="12"/>
  <c r="L63" i="12"/>
  <c r="P63" i="12"/>
  <c r="P58" i="12" s="1"/>
  <c r="C37" i="12"/>
  <c r="S37" i="12" s="1"/>
  <c r="C7" i="12"/>
  <c r="S7" i="12" s="1"/>
  <c r="D5" i="12"/>
  <c r="C11" i="12"/>
  <c r="S11" i="12" s="1"/>
  <c r="C48" i="12"/>
  <c r="C57" i="12"/>
  <c r="S57" i="12" s="1"/>
  <c r="D9" i="12"/>
  <c r="H9" i="12"/>
  <c r="P9" i="12"/>
  <c r="C29" i="12"/>
  <c r="C45" i="12"/>
  <c r="E42" i="12"/>
  <c r="K5" i="12"/>
  <c r="D42" i="12"/>
  <c r="C43" i="12"/>
  <c r="H42" i="12"/>
  <c r="H38" i="12" s="1"/>
  <c r="L42" i="12"/>
  <c r="P42" i="12"/>
  <c r="D53" i="12"/>
  <c r="C17" i="12"/>
  <c r="S17" i="12" s="1"/>
  <c r="D15" i="12"/>
  <c r="D19" i="12"/>
  <c r="L19" i="12"/>
  <c r="D23" i="12"/>
  <c r="H23" i="12"/>
  <c r="L23" i="12"/>
  <c r="P23" i="12"/>
  <c r="G23" i="12"/>
  <c r="O23" i="12"/>
  <c r="C35" i="12"/>
  <c r="S35" i="12" s="1"/>
  <c r="C46" i="12"/>
  <c r="I42" i="12"/>
  <c r="D58" i="12"/>
  <c r="N59" i="12"/>
  <c r="C67" i="12"/>
  <c r="S67" i="12" s="1"/>
  <c r="F9" i="12"/>
  <c r="N9" i="12"/>
  <c r="C14" i="12"/>
  <c r="C22" i="12"/>
  <c r="S22" i="12" s="1"/>
  <c r="C8" i="12"/>
  <c r="S8" i="12" s="1"/>
  <c r="C13" i="12"/>
  <c r="S13" i="12" s="1"/>
  <c r="F23" i="12"/>
  <c r="N23" i="12"/>
  <c r="F33" i="12"/>
  <c r="N33" i="12"/>
  <c r="C44" i="12"/>
  <c r="C56" i="12"/>
  <c r="S56" i="12" s="1"/>
  <c r="G58" i="12"/>
  <c r="C66" i="12"/>
  <c r="S66" i="12" s="1"/>
  <c r="G5" i="12"/>
  <c r="O5" i="12"/>
  <c r="G15" i="12"/>
  <c r="O15" i="12"/>
  <c r="F19" i="12"/>
  <c r="N19" i="12"/>
  <c r="C28" i="12"/>
  <c r="S28" i="12" s="1"/>
  <c r="C32" i="12"/>
  <c r="I30" i="12"/>
  <c r="M30" i="12"/>
  <c r="I53" i="12"/>
  <c r="M53" i="12"/>
  <c r="K53" i="12"/>
  <c r="C62" i="12"/>
  <c r="S62" i="12" s="1"/>
  <c r="I63" i="12"/>
  <c r="I58" i="12" s="1"/>
  <c r="M63" i="12"/>
  <c r="M58" i="12" s="1"/>
  <c r="C18" i="12"/>
  <c r="C12" i="12"/>
  <c r="S12" i="12" s="1"/>
  <c r="C6" i="12"/>
  <c r="S6" i="12" s="1"/>
  <c r="E5" i="12"/>
  <c r="I5" i="12"/>
  <c r="M5" i="12"/>
  <c r="C10" i="12"/>
  <c r="S10" i="12" s="1"/>
  <c r="E9" i="12"/>
  <c r="I9" i="12"/>
  <c r="M9" i="12"/>
  <c r="C34" i="12"/>
  <c r="E33" i="12"/>
  <c r="I33" i="12"/>
  <c r="M33" i="12"/>
  <c r="C40" i="12"/>
  <c r="S40" i="12" s="1"/>
  <c r="E39" i="12"/>
  <c r="G42" i="12"/>
  <c r="K42" i="12"/>
  <c r="O42" i="12"/>
  <c r="C54" i="12"/>
  <c r="S54" i="12" s="1"/>
  <c r="E53" i="12"/>
  <c r="C16" i="12"/>
  <c r="S16" i="12" s="1"/>
  <c r="E15" i="12"/>
  <c r="I15" i="12"/>
  <c r="M15" i="12"/>
  <c r="C20" i="12"/>
  <c r="S20" i="12" s="1"/>
  <c r="E19" i="12"/>
  <c r="I19" i="12"/>
  <c r="M19" i="12"/>
  <c r="C24" i="12"/>
  <c r="S24" i="12" s="1"/>
  <c r="E23" i="12"/>
  <c r="I23" i="12"/>
  <c r="M23" i="12"/>
  <c r="E30" i="12"/>
  <c r="C60" i="12"/>
  <c r="S60" i="12" s="1"/>
  <c r="E59" i="12"/>
  <c r="C64" i="12"/>
  <c r="S64" i="12" s="1"/>
  <c r="E63" i="12"/>
  <c r="Q36" i="9"/>
  <c r="C21" i="10" s="1"/>
  <c r="Q33" i="9"/>
  <c r="C10" i="10" s="1"/>
  <c r="Q26" i="9"/>
  <c r="C9" i="10" s="1"/>
  <c r="P36" i="9"/>
  <c r="O36" i="9"/>
  <c r="M36" i="9"/>
  <c r="L36" i="9"/>
  <c r="K36" i="9"/>
  <c r="I36" i="9"/>
  <c r="H36" i="9"/>
  <c r="G36" i="9"/>
  <c r="E36" i="9"/>
  <c r="D36" i="9"/>
  <c r="C29" i="9"/>
  <c r="S29" i="9" s="1"/>
  <c r="M33" i="9"/>
  <c r="I33" i="9"/>
  <c r="E33" i="9"/>
  <c r="C22" i="9"/>
  <c r="S22" i="9" s="1"/>
  <c r="C18" i="9"/>
  <c r="S18" i="9" s="1"/>
  <c r="C7" i="9"/>
  <c r="C5" i="9"/>
  <c r="I987" i="2" l="1"/>
  <c r="I989" i="2" s="1"/>
  <c r="S5" i="9"/>
  <c r="S7" i="9"/>
  <c r="E17" i="10"/>
  <c r="Q6" i="9"/>
  <c r="Q8" i="9" s="1"/>
  <c r="Q9" i="12"/>
  <c r="S14" i="12"/>
  <c r="H58" i="12"/>
  <c r="N38" i="12"/>
  <c r="G38" i="12"/>
  <c r="M38" i="12"/>
  <c r="K58" i="12"/>
  <c r="P38" i="12"/>
  <c r="K4" i="12"/>
  <c r="G4" i="12"/>
  <c r="F38" i="12"/>
  <c r="D38" i="12"/>
  <c r="C39" i="12"/>
  <c r="C13" i="9"/>
  <c r="S13" i="9" s="1"/>
  <c r="C11" i="9"/>
  <c r="S11" i="9" s="1"/>
  <c r="N58" i="12"/>
  <c r="L38" i="12"/>
  <c r="H4" i="12"/>
  <c r="N4" i="12"/>
  <c r="O38" i="12"/>
  <c r="L58" i="12"/>
  <c r="C53" i="12"/>
  <c r="S53" i="12" s="1"/>
  <c r="P4" i="12"/>
  <c r="L4" i="12"/>
  <c r="O4" i="12"/>
  <c r="C63" i="12"/>
  <c r="S63" i="12" s="1"/>
  <c r="F4" i="12"/>
  <c r="C23" i="12"/>
  <c r="C30" i="12"/>
  <c r="I38" i="12"/>
  <c r="D4" i="12"/>
  <c r="C19" i="12"/>
  <c r="C15" i="12"/>
  <c r="K38" i="12"/>
  <c r="E58" i="12"/>
  <c r="C59" i="12"/>
  <c r="S59" i="12" s="1"/>
  <c r="M4" i="12"/>
  <c r="C33" i="12"/>
  <c r="I4" i="12"/>
  <c r="C42" i="12"/>
  <c r="C9" i="12"/>
  <c r="C5" i="12"/>
  <c r="E4" i="12"/>
  <c r="E38" i="12"/>
  <c r="C14" i="9"/>
  <c r="S14" i="9" s="1"/>
  <c r="M26" i="9"/>
  <c r="C17" i="9"/>
  <c r="S17" i="9" s="1"/>
  <c r="C21" i="9"/>
  <c r="S21" i="9" s="1"/>
  <c r="C25" i="9"/>
  <c r="S25" i="9" s="1"/>
  <c r="F33" i="9"/>
  <c r="N33" i="9"/>
  <c r="C28" i="9"/>
  <c r="S28" i="9" s="1"/>
  <c r="C32" i="9"/>
  <c r="S32" i="9" s="1"/>
  <c r="C35" i="9"/>
  <c r="S35" i="9" s="1"/>
  <c r="Q37" i="9"/>
  <c r="E26" i="9"/>
  <c r="E6" i="9" s="1"/>
  <c r="E8" i="9" s="1"/>
  <c r="G26" i="9"/>
  <c r="K26" i="9"/>
  <c r="O26" i="9"/>
  <c r="F26" i="9"/>
  <c r="N26" i="9"/>
  <c r="N6" i="9" s="1"/>
  <c r="C16" i="9"/>
  <c r="S16" i="9" s="1"/>
  <c r="C20" i="9"/>
  <c r="S20" i="9" s="1"/>
  <c r="C24" i="9"/>
  <c r="S24" i="9" s="1"/>
  <c r="G33" i="9"/>
  <c r="K33" i="9"/>
  <c r="O33" i="9"/>
  <c r="O37" i="9" s="1"/>
  <c r="C31" i="9"/>
  <c r="S31" i="9" s="1"/>
  <c r="I26" i="9"/>
  <c r="D26" i="9"/>
  <c r="H26" i="9"/>
  <c r="L26" i="9"/>
  <c r="P26" i="9"/>
  <c r="C15" i="9"/>
  <c r="S15" i="9" s="1"/>
  <c r="C19" i="9"/>
  <c r="S19" i="9" s="1"/>
  <c r="C23" i="9"/>
  <c r="S23" i="9" s="1"/>
  <c r="D33" i="9"/>
  <c r="H33" i="9"/>
  <c r="L33" i="9"/>
  <c r="P33" i="9"/>
  <c r="C30" i="9"/>
  <c r="S30" i="9" s="1"/>
  <c r="F36" i="9"/>
  <c r="N36" i="9"/>
  <c r="C12" i="9"/>
  <c r="S12" i="9" s="1"/>
  <c r="C34" i="9"/>
  <c r="S34" i="9" s="1"/>
  <c r="C27" i="9"/>
  <c r="S27" i="9" s="1"/>
  <c r="L6" i="9" l="1"/>
  <c r="Q15" i="12"/>
  <c r="S15" i="12" s="1"/>
  <c r="S18" i="12"/>
  <c r="Q19" i="12"/>
  <c r="S19" i="12" s="1"/>
  <c r="S21" i="12"/>
  <c r="S9" i="12"/>
  <c r="S29" i="12"/>
  <c r="H6" i="9"/>
  <c r="H8" i="9" s="1"/>
  <c r="O6" i="9"/>
  <c r="O8" i="9" s="1"/>
  <c r="K6" i="9"/>
  <c r="K8" i="9" s="1"/>
  <c r="M37" i="9"/>
  <c r="M6" i="9"/>
  <c r="M8" i="9" s="1"/>
  <c r="P6" i="9"/>
  <c r="P8" i="9" s="1"/>
  <c r="P10" i="9" s="1"/>
  <c r="I6" i="9"/>
  <c r="I8" i="9" s="1"/>
  <c r="H3" i="12"/>
  <c r="H9" i="9" s="1"/>
  <c r="G3" i="12"/>
  <c r="G9" i="9" s="1"/>
  <c r="F3" i="12"/>
  <c r="F9" i="9" s="1"/>
  <c r="D3" i="12"/>
  <c r="D9" i="9" s="1"/>
  <c r="P3" i="12"/>
  <c r="C58" i="12"/>
  <c r="M3" i="12"/>
  <c r="M9" i="9" s="1"/>
  <c r="C36" i="9"/>
  <c r="G37" i="9"/>
  <c r="L8" i="9"/>
  <c r="K3" i="12"/>
  <c r="K9" i="9" s="1"/>
  <c r="N3" i="12"/>
  <c r="N9" i="9" s="1"/>
  <c r="I37" i="9"/>
  <c r="C26" i="9"/>
  <c r="E9" i="10" s="1"/>
  <c r="O3" i="12"/>
  <c r="O9" i="9" s="1"/>
  <c r="L3" i="12"/>
  <c r="L9" i="9" s="1"/>
  <c r="F6" i="9"/>
  <c r="F8" i="9" s="1"/>
  <c r="C33" i="9"/>
  <c r="E10" i="10" s="1"/>
  <c r="K37" i="9"/>
  <c r="N37" i="9"/>
  <c r="P37" i="9"/>
  <c r="D37" i="9"/>
  <c r="E37" i="9"/>
  <c r="D6" i="9"/>
  <c r="D8" i="9" s="1"/>
  <c r="F37" i="9"/>
  <c r="I3" i="12"/>
  <c r="I9" i="9" s="1"/>
  <c r="C38" i="12"/>
  <c r="E13" i="10" s="1"/>
  <c r="E3" i="12"/>
  <c r="E9" i="9" s="1"/>
  <c r="E10" i="9" s="1"/>
  <c r="C4" i="12"/>
  <c r="E12" i="10" s="1"/>
  <c r="L37" i="9"/>
  <c r="N8" i="9"/>
  <c r="H37" i="9"/>
  <c r="G6" i="9"/>
  <c r="G8" i="9" s="1"/>
  <c r="S36" i="9" l="1"/>
  <c r="E21" i="10"/>
  <c r="S33" i="9"/>
  <c r="S26" i="9"/>
  <c r="N10" i="9"/>
  <c r="K10" i="9"/>
  <c r="S58" i="12"/>
  <c r="Q23" i="12"/>
  <c r="S23" i="12" s="1"/>
  <c r="S32" i="12"/>
  <c r="I10" i="9"/>
  <c r="H10" i="9"/>
  <c r="F10" i="9"/>
  <c r="G10" i="9"/>
  <c r="O10" i="9"/>
  <c r="M10" i="9"/>
  <c r="C9" i="9"/>
  <c r="L10" i="9"/>
  <c r="C3" i="12"/>
  <c r="C37" i="9"/>
  <c r="S37" i="9" s="1"/>
  <c r="C6" i="9"/>
  <c r="S6" i="9" s="1"/>
  <c r="D10" i="9"/>
  <c r="C8" i="9"/>
  <c r="S8" i="9" s="1"/>
  <c r="C10" i="9" l="1"/>
  <c r="K129" i="10"/>
  <c r="K128" i="10"/>
  <c r="K127" i="10"/>
  <c r="K126" i="10"/>
  <c r="K125" i="10"/>
  <c r="K124" i="10"/>
  <c r="K123" i="10"/>
  <c r="K122" i="10"/>
  <c r="K121" i="10"/>
  <c r="K120" i="10"/>
  <c r="K119" i="10"/>
  <c r="K118" i="10"/>
  <c r="K117" i="10"/>
  <c r="K116" i="10"/>
  <c r="K115" i="10"/>
  <c r="K114" i="10"/>
  <c r="K113" i="10"/>
  <c r="K112" i="10"/>
  <c r="K111" i="10"/>
  <c r="K110" i="10"/>
  <c r="K109" i="10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K93" i="10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E23" i="10"/>
  <c r="D23" i="10"/>
  <c r="C23" i="10"/>
  <c r="K20" i="10"/>
  <c r="K19" i="10"/>
  <c r="K18" i="10"/>
  <c r="K17" i="10"/>
  <c r="K16" i="10"/>
  <c r="K15" i="10"/>
  <c r="K14" i="10"/>
  <c r="K13" i="10"/>
  <c r="K12" i="10"/>
  <c r="K11" i="10"/>
  <c r="E11" i="10"/>
  <c r="K10" i="10"/>
  <c r="K9" i="10"/>
  <c r="K8" i="10"/>
  <c r="E8" i="10"/>
  <c r="D8" i="10"/>
  <c r="C8" i="10"/>
  <c r="K7" i="10"/>
  <c r="K6" i="10"/>
  <c r="K5" i="10"/>
  <c r="K4" i="10"/>
  <c r="K3" i="10"/>
  <c r="K2" i="10"/>
  <c r="S36" i="12" l="1"/>
  <c r="S34" i="12"/>
  <c r="Q30" i="12"/>
  <c r="S30" i="12" s="1"/>
  <c r="E14" i="10"/>
  <c r="E25" i="10" s="1"/>
  <c r="Q33" i="12" l="1"/>
  <c r="S33" i="12" s="1"/>
  <c r="Q5" i="12"/>
  <c r="S5" i="12" s="1"/>
  <c r="Q4" i="12" l="1"/>
  <c r="S4" i="12" l="1"/>
  <c r="C12" i="10"/>
  <c r="S41" i="12"/>
  <c r="Q39" i="12" l="1"/>
  <c r="S39" i="12" s="1"/>
  <c r="S43" i="12" l="1"/>
  <c r="S44" i="12" l="1"/>
  <c r="S46" i="12" l="1"/>
  <c r="S45" i="12"/>
  <c r="G919" i="2" l="1"/>
  <c r="G985" i="2" s="1"/>
  <c r="G986" i="2" l="1"/>
  <c r="G989" i="2" s="1"/>
  <c r="S48" i="12"/>
  <c r="Q42" i="12" l="1"/>
  <c r="S42" i="12" s="1"/>
  <c r="Q38" i="12" l="1"/>
  <c r="C13" i="10" s="1"/>
  <c r="C11" i="10" l="1"/>
  <c r="C14" i="10" s="1"/>
  <c r="C25" i="10" s="1"/>
  <c r="S38" i="12"/>
  <c r="D11" i="10" s="1"/>
  <c r="D14" i="10" s="1"/>
  <c r="D25" i="10" s="1"/>
  <c r="Q3" i="12"/>
  <c r="Q9" i="9" l="1"/>
  <c r="S3" i="12"/>
  <c r="S9" i="9" l="1"/>
  <c r="Q10" i="9"/>
  <c r="S10" i="9" s="1"/>
</calcChain>
</file>

<file path=xl/sharedStrings.xml><?xml version="1.0" encoding="utf-8"?>
<sst xmlns="http://schemas.openxmlformats.org/spreadsheetml/2006/main" count="6702" uniqueCount="840">
  <si>
    <t>OPĆI DIO</t>
  </si>
  <si>
    <t>PRIHODI UKUPNO</t>
  </si>
  <si>
    <t>PRIHODI POSLOVANJA</t>
  </si>
  <si>
    <t>PRIHODI OD NEFINANCIJSKE IMOVINE</t>
  </si>
  <si>
    <t>RASHODI UKUPNO</t>
  </si>
  <si>
    <t>RASHODI  POSLOVANJA</t>
  </si>
  <si>
    <t>RASHODI ZA NEFINANCIJSKU IMOVINU</t>
  </si>
  <si>
    <t>RAZLIKA - VIŠAK / MANJAK</t>
  </si>
  <si>
    <t>DONOS</t>
  </si>
  <si>
    <t>Ukupan donos neutrošenih prihoda iz prethodne/ih godina</t>
  </si>
  <si>
    <t>ODNOS</t>
  </si>
  <si>
    <t>PRIMICI OD FINANCIJSKE IMOVINE I ZADUŽIVANJA</t>
  </si>
  <si>
    <t>IZDACI ZA FINANCIJSKU IMOVINU I OTPLATE ZAJMOVA</t>
  </si>
  <si>
    <t>NETO FINANCIRANJE</t>
  </si>
  <si>
    <t>VIŠAK / MANJAK + DONOS + ODNOS + NETO FINANCIRANJE</t>
  </si>
  <si>
    <t>KONTROLA</t>
  </si>
  <si>
    <t>PRIHODI</t>
  </si>
  <si>
    <t>08006</t>
  </si>
  <si>
    <t>Sveučilišta i veleučilišta u Republici Hrvatskoj</t>
  </si>
  <si>
    <t>Opći prihodi i primici</t>
  </si>
  <si>
    <t>Prihodi iz nadležnog proračuna za financiranje redovne djelatnosti proračunskih korisnika</t>
  </si>
  <si>
    <t>Sredstva učešća za pomoći</t>
  </si>
  <si>
    <t>Vlastiti prihodi</t>
  </si>
  <si>
    <t>Kamate na oročena sredstva izvor 31</t>
  </si>
  <si>
    <t>Kamate na depozite po viđenju izvor 31</t>
  </si>
  <si>
    <t>Prihodi od prodaje proizvoda i robe</t>
  </si>
  <si>
    <t>Prihodi od pruženih usluga</t>
  </si>
  <si>
    <t>Ostali prihodi za posebne namjene</t>
  </si>
  <si>
    <t>Sufinanciranje cijene usluge, participacije i slično</t>
  </si>
  <si>
    <t>Ostali prihodi izvor 43</t>
  </si>
  <si>
    <t>Pomoći EU</t>
  </si>
  <si>
    <t>Tekuće pomoći od institucija i tijela EU - ostalo</t>
  </si>
  <si>
    <t>Ostale pomoći</t>
  </si>
  <si>
    <t>Tekuće pomoći od inozemnih vlada izvan EU</t>
  </si>
  <si>
    <t>Tekuće pomoći od ostalih subjekata unutar općeg proračuna</t>
  </si>
  <si>
    <t>Tekuće pomoći proračunskim korisnicima iz proračuna koji im nije nadležan</t>
  </si>
  <si>
    <t>Tekući prijenosi između proračunskih korisnika istog proračuna</t>
  </si>
  <si>
    <t>Tekući prijenosi između proračunskih korisnika istog proračuna temeljem prijenosa EU sredstava</t>
  </si>
  <si>
    <t>Europski socijalni fond (ESF)</t>
  </si>
  <si>
    <t>Europski fond za regionalni razvoj (ERDF)</t>
  </si>
  <si>
    <t>Donacije</t>
  </si>
  <si>
    <t>Tekuće donacije od fizičkih osoba</t>
  </si>
  <si>
    <t>Tekuće donacije od neprofitnih organizacija</t>
  </si>
  <si>
    <t>Tekuće donacije od trgovačkih društava</t>
  </si>
  <si>
    <t>Tekuće donacije od ostalih subjekata izvan opće države</t>
  </si>
  <si>
    <t>Kapitalne donacije od fizičkih osoba - ostale</t>
  </si>
  <si>
    <t>Kapitalne donacije od trgovačkih društava</t>
  </si>
  <si>
    <t>Prihodi od nefin. imovine i nadoknade štete s osnova osig.</t>
  </si>
  <si>
    <t>Stambeni objekti za zaposlene izvor 71</t>
  </si>
  <si>
    <t>RASHODI</t>
  </si>
  <si>
    <t>Plaće za redovan rad</t>
  </si>
  <si>
    <t>Ostali rashodi za zaposlene</t>
  </si>
  <si>
    <t>Doprinosi za obvezno zdravstveno osiguranje</t>
  </si>
  <si>
    <t>Naknade za prijevoz, za rad na terenu i odvojeni život</t>
  </si>
  <si>
    <t>Zdravstvene i veterinarske usluge</t>
  </si>
  <si>
    <t>Pristojbe i naknade</t>
  </si>
  <si>
    <t>Tekuće donacije u novcu</t>
  </si>
  <si>
    <t>Ostali nespomenuti rashodi poslovanja</t>
  </si>
  <si>
    <t>Poslovni objekti</t>
  </si>
  <si>
    <t>Premije osiguranja</t>
  </si>
  <si>
    <t>Službena putovanja</t>
  </si>
  <si>
    <t>Materijal i dijelovi za tekuće i investicijsko održavanje</t>
  </si>
  <si>
    <t>Intelektualne i osobne usluge</t>
  </si>
  <si>
    <t>Uredska oprema i namještaj</t>
  </si>
  <si>
    <t>Stručno usavršavanje zaposlenika</t>
  </si>
  <si>
    <t>Uredski materijal i ostali materijalni rashodi</t>
  </si>
  <si>
    <t>Ostale usluge</t>
  </si>
  <si>
    <t>Naknade troškova osobama izvan radnog odnosa</t>
  </si>
  <si>
    <t>Reprezentacija</t>
  </si>
  <si>
    <t>Članarine i norme</t>
  </si>
  <si>
    <t>Bankarske usluge i usluge platnog prometa</t>
  </si>
  <si>
    <t>Negativne tečajne razlike i razlike zbog primjene valutne kl</t>
  </si>
  <si>
    <t>Komunikacijska oprema</t>
  </si>
  <si>
    <t>Medicinska i laboratorijska oprema</t>
  </si>
  <si>
    <t>Knjige</t>
  </si>
  <si>
    <t>Ostale naknade troškova zaposlenima</t>
  </si>
  <si>
    <t>Materijal i sirovine</t>
  </si>
  <si>
    <t>Energija</t>
  </si>
  <si>
    <t>Sitni inventar i auto gume</t>
  </si>
  <si>
    <t>Usluge telefona, pošte i prijevoza</t>
  </si>
  <si>
    <t>Usluge tekućeg i investicijskog održavanja</t>
  </si>
  <si>
    <t>Usluge promidžbe i informiranja</t>
  </si>
  <si>
    <t>Računalne usluge</t>
  </si>
  <si>
    <t>Tekući prijenosi između proračunskih korisnika istog proraču</t>
  </si>
  <si>
    <t>Naknade građanima i kućanstvima u novcu</t>
  </si>
  <si>
    <t>Instrumenti, uređaji i strojevi</t>
  </si>
  <si>
    <t>Ulaganja u računalne programe</t>
  </si>
  <si>
    <t>Komunalne usluge</t>
  </si>
  <si>
    <t>Zakupnine i najamnine</t>
  </si>
  <si>
    <t>Službena, radna i zaštitna odjeća i obuća</t>
  </si>
  <si>
    <t>Oprema za održavanje i zaštitu</t>
  </si>
  <si>
    <t>Dodatna ulaganja na građevinskim objektima</t>
  </si>
  <si>
    <t>Licence</t>
  </si>
  <si>
    <t>Uređaji, strojevi i oprema za ostale namjene</t>
  </si>
  <si>
    <t>Ostali nespomenuti financijski rashodi</t>
  </si>
  <si>
    <t>Dodatna ulaganja na postrojenjima i opremi</t>
  </si>
  <si>
    <t>Plaće u naravi</t>
  </si>
  <si>
    <t>Troškovi sudskih postupaka</t>
  </si>
  <si>
    <t>Prijevozna sredstva u cestovnom prometu</t>
  </si>
  <si>
    <t>Izvor prihoda i primitaka</t>
  </si>
  <si>
    <t>Stavka</t>
  </si>
  <si>
    <t>Naziv stavke</t>
  </si>
  <si>
    <t xml:space="preserve">IZVOR 11             Opći prihodi i primici </t>
  </si>
  <si>
    <t>IZVOR 12             Sredstva učešća za pomoći</t>
  </si>
  <si>
    <t xml:space="preserve">IZVOR 31                  Vlastiti prihodi </t>
  </si>
  <si>
    <t xml:space="preserve">IZVOR 43                   Prihodi za posebne namjene </t>
  </si>
  <si>
    <t>IZVOR 51                              Pomoći EU</t>
  </si>
  <si>
    <t xml:space="preserve">IZVOR 52                              Ostale pomoći </t>
  </si>
  <si>
    <t>IZVOR 559                          Ostale refundacije iz sredstava EU</t>
  </si>
  <si>
    <t>IZVOR 561                         Europski socijalni fond (ESF)</t>
  </si>
  <si>
    <t>IZVOR 563                         Europski fond za regionalni razvoj (EFRR)</t>
  </si>
  <si>
    <t xml:space="preserve">IZVOR 61                         Donacije </t>
  </si>
  <si>
    <t xml:space="preserve">IZVOR 63                         Inozemne donacije </t>
  </si>
  <si>
    <t>IZVOR 71                          Prihodi od nefinancijske imovine i nadoknade šteta s osnova osiguranja</t>
  </si>
  <si>
    <t>PRIHODI (6+7)</t>
  </si>
  <si>
    <t>LIMIT ZA RASHODNU STRANU</t>
  </si>
  <si>
    <t>631</t>
  </si>
  <si>
    <t>Pomoći od inozemnih vlada</t>
  </si>
  <si>
    <t>632</t>
  </si>
  <si>
    <t>Pomoći od međunarodnih organizacija te institucija i tijela EU</t>
  </si>
  <si>
    <t>634</t>
  </si>
  <si>
    <t>Pomoći od izvanproračunskih korisnika</t>
  </si>
  <si>
    <t>636</t>
  </si>
  <si>
    <t>Pomoći proračunskim korisnicima iz proračuna koji im nije nadležan</t>
  </si>
  <si>
    <t>638</t>
  </si>
  <si>
    <t>Pomoći temeljem prijenosa EU sredstava</t>
  </si>
  <si>
    <t>639</t>
  </si>
  <si>
    <t>Prijenosi između proračunskih korisnika istog proračuna</t>
  </si>
  <si>
    <t>641</t>
  </si>
  <si>
    <t>Prihodi od financijske imovine</t>
  </si>
  <si>
    <t>642</t>
  </si>
  <si>
    <t>Prihodi od nefinancijske imovine</t>
  </si>
  <si>
    <t>652</t>
  </si>
  <si>
    <t>Prihodi po posebnim propisima</t>
  </si>
  <si>
    <t>661</t>
  </si>
  <si>
    <t>Prihodi od prodaje proizvoda i robe te pruženih usluga</t>
  </si>
  <si>
    <t>663</t>
  </si>
  <si>
    <t>Donacije od pravnih i fizičkih osoba izvan općeg proračuna</t>
  </si>
  <si>
    <t>671</t>
  </si>
  <si>
    <t>681</t>
  </si>
  <si>
    <t>Kazne i upravne mjere</t>
  </si>
  <si>
    <t>683</t>
  </si>
  <si>
    <t>Ostali prihodi</t>
  </si>
  <si>
    <t>6</t>
  </si>
  <si>
    <t>UKUPNO:</t>
  </si>
  <si>
    <t>711</t>
  </si>
  <si>
    <t>Prihodi od prodaje materijalne imovine - prirodnih bogatstava</t>
  </si>
  <si>
    <t>712</t>
  </si>
  <si>
    <t>Prihodi od prodaje nematerijalne imovine</t>
  </si>
  <si>
    <t>721</t>
  </si>
  <si>
    <t>Prihodi od prodaje građevinskih objekata</t>
  </si>
  <si>
    <t>722</t>
  </si>
  <si>
    <t>Prihodi od prodaje postrojenja i opreme</t>
  </si>
  <si>
    <t>723</t>
  </si>
  <si>
    <t>Prihodi od prodaje prijevoznih sredstava</t>
  </si>
  <si>
    <t>7</t>
  </si>
  <si>
    <t>Primljeni krediti i zajmovi od kreditnih i ostalih financijskih institucija u javnom sektoru</t>
  </si>
  <si>
    <t>8</t>
  </si>
  <si>
    <t>Ukupno (po izvorima)</t>
  </si>
  <si>
    <t>GISKO</t>
  </si>
  <si>
    <t>REKTORAT</t>
  </si>
  <si>
    <t>UKUPNO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</si>
  <si>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</si>
  <si>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</si>
  <si>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</si>
  <si>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</si>
  <si>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</si>
  <si>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</si>
  <si>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</si>
  <si>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</si>
  <si>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</si>
  <si>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</si>
  <si>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</si>
  <si>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</si>
  <si>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</si>
  <si>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</si>
  <si>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</si>
  <si>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R.B.</t>
  </si>
  <si>
    <t>SASTAVNICA</t>
  </si>
  <si>
    <t>AKADEMIJA ZA UMJETNOST I KULTURU</t>
  </si>
  <si>
    <t>EKONOMSKI FAKULTET</t>
  </si>
  <si>
    <t>FAKULTET AGROBIOTEHNIČKIH ZNANOSTI</t>
  </si>
  <si>
    <t>FAKULTET ELEKTROTEHNIKE, RAČUNARSTVA I INFORMACIJSKIH TEHNOLOGIJA</t>
  </si>
  <si>
    <t>FILOZOFSKI FAKULTET</t>
  </si>
  <si>
    <t>FAKULTET ZA DENTALNU MEDICINU I ZDRAVSTVO</t>
  </si>
  <si>
    <t>FAKULTET ZA ODGOJNE I OBRAZOVNE ZNANOSTI</t>
  </si>
  <si>
    <t xml:space="preserve">GRAĐEVINSKI I ARHITEKTONSKI FAKULTET </t>
  </si>
  <si>
    <t>KATOLIČKI BOGOSLOVNI FAKULTET ĐAKOVO</t>
  </si>
  <si>
    <t>MEDICINSKI FAKULTET</t>
  </si>
  <si>
    <t>PRAVNI FAKULTET</t>
  </si>
  <si>
    <t>PREHRAMBENO TEHNOLOŠKI FAKULTET</t>
  </si>
  <si>
    <t>ODJEL ZA BIOLOGIJU</t>
  </si>
  <si>
    <t>ODJEL ZA FIZIKU</t>
  </si>
  <si>
    <t>16.</t>
  </si>
  <si>
    <t>ODJEL ZA KEMIJU</t>
  </si>
  <si>
    <t>17.</t>
  </si>
  <si>
    <t>ODJEL ZA MATEMATIKU</t>
  </si>
  <si>
    <t>18.</t>
  </si>
  <si>
    <t>STUC OSIJEK</t>
  </si>
  <si>
    <t>19.</t>
  </si>
  <si>
    <t>20.</t>
  </si>
  <si>
    <t>Sveučilište Josipa Jurja Strossmayera u Osijeku</t>
  </si>
  <si>
    <t>Opis izvora</t>
  </si>
  <si>
    <t>UKUPNI PRIHODI I PRIMICI</t>
  </si>
  <si>
    <t>UKUPNI RASHODI I IZDACI</t>
  </si>
  <si>
    <t>RAZLIKA  - VIŠAK / MANJAK</t>
  </si>
  <si>
    <t>08091</t>
  </si>
  <si>
    <t>SVEUČILIŠTE J.J STROSSMAYERA U OSIJEKU</t>
  </si>
  <si>
    <t>31000 OSIJEK</t>
  </si>
  <si>
    <t>SVEUČILIŠTE J.J STROSSMAYERA U OSIJEKU - EKONOMSKI FAKULTET</t>
  </si>
  <si>
    <t>TRG LJUDEVITA GAJA 7</t>
  </si>
  <si>
    <t>52778515544</t>
  </si>
  <si>
    <t xml:space="preserve">SVEUČILIŠTE J.J.STROSSMAYERA U OSIJEKU - ELEKTROTEHNIČKI FAKULTET </t>
  </si>
  <si>
    <t>KNEZA TRPIMIRA 2 B</t>
  </si>
  <si>
    <t>95494259952</t>
  </si>
  <si>
    <t>SVEUČILIŠTE J.J STROSSMAYERA U OSIJEKU - FILOZOFSKI FAKULTET</t>
  </si>
  <si>
    <t>LORENZA JAGERA 9</t>
  </si>
  <si>
    <t>58868871646</t>
  </si>
  <si>
    <t>SVEUČILIŠTE J.J.STROSSMAYERA U OSIJEKU - GRADSKA I SVEUČILIŠNA KNJIŽNICA</t>
  </si>
  <si>
    <t>EUROPSKA AVENIJA 24</t>
  </si>
  <si>
    <t>46627536930</t>
  </si>
  <si>
    <t>SVEUČILIŠTE J.J STROSSMAYERA U OSIJEKU - GRAĐEVINSKI FAKULTET</t>
  </si>
  <si>
    <t xml:space="preserve">DRINSKA 16 A </t>
  </si>
  <si>
    <t>04150850819</t>
  </si>
  <si>
    <t>SVEUČILIŠTE J.J STROSSMAYERA U OSIJEKU - MEDICINSKI FAKULTET</t>
  </si>
  <si>
    <t>HUTTLEROVA 4</t>
  </si>
  <si>
    <t>16214165873</t>
  </si>
  <si>
    <t>SVEUČILIŠTE J.J STROSSMAYERA U OSIJEKU - POLJOPRIVREDNI FAKULTET</t>
  </si>
  <si>
    <t>VLADIMIRA PRELOGA 1</t>
  </si>
  <si>
    <t>98816779821</t>
  </si>
  <si>
    <t>SVEUČILIŠTE J.J STROSSMAYERA U OSIJEKU - PRAVNI FAKULTET</t>
  </si>
  <si>
    <t>STJEPANA RADIĆA 13</t>
  </si>
  <si>
    <t xml:space="preserve"> 31000 OSIJEK</t>
  </si>
  <si>
    <t>26416570803</t>
  </si>
  <si>
    <t>SVEUČILIŠTE J.J STROSSMAYERA U OSIJEKU - PREHRAMBENO TEHNOLOŠKI FAKULTET</t>
  </si>
  <si>
    <t>FRANJE KUHAČA 20</t>
  </si>
  <si>
    <t>96371000697</t>
  </si>
  <si>
    <t>SVEUČILIŠTE J.J STROSSMAYERA U OSIJEKU - STROJARSKI FAKULTET U SLAVONSKOME BRODU</t>
  </si>
  <si>
    <t>TRG IVANE BRLIĆ MAŽURANIĆ 2</t>
  </si>
  <si>
    <t>35000 SLAVONSKI BROD</t>
  </si>
  <si>
    <t>65410788616</t>
  </si>
  <si>
    <t>SVEUČILIŠTE J.J STROSSMAYERA U OSIJEKU - FAKULTET ZA ODGOJNE I OBRAZOVNE ZNANOSTI</t>
  </si>
  <si>
    <t>CARA HADRIJANA 10</t>
  </si>
  <si>
    <t>28082679513</t>
  </si>
  <si>
    <t>SVEUČILIŠTE J.J.STROSSMAYERA U OSIJEKU - KATOLIČKI BOGOSLOVNI FAKULTET U ĐAKOVU</t>
  </si>
  <si>
    <t xml:space="preserve">PETRA PRERADOVIĆA 17 </t>
  </si>
  <si>
    <t>31400 ĐAKOVO</t>
  </si>
  <si>
    <t>05384220316</t>
  </si>
  <si>
    <t>SVEUČILIŠTE J.J.STROSSMAYERA U OSIJEKU - FAKULTET ZA DENTALNU MEDICINU I ZDRAVSTVO</t>
  </si>
  <si>
    <t>CRKVENA 21</t>
  </si>
  <si>
    <t>83830458507</t>
  </si>
  <si>
    <t>SVEUČILIŠTE J.J.STROSSMAYERA U OSIJEKU - AKADEMIJA ZA UMJETNOST I KULTURU U OSIJEKU</t>
  </si>
  <si>
    <t>KRALJA PETRA SVAČIĆA 1/F</t>
  </si>
  <si>
    <t>SVEUČILIŠTE JURJA DOBRILE U PULI</t>
  </si>
  <si>
    <t>ZAGREBAČKA 30</t>
  </si>
  <si>
    <t>52100 PULA</t>
  </si>
  <si>
    <t>61738073226</t>
  </si>
  <si>
    <t>SVEUČILIŠTE SJEVER</t>
  </si>
  <si>
    <t>TRG dr. ŽARKA DOLINARA 1</t>
  </si>
  <si>
    <t>48000 KOPRIVNICA</t>
  </si>
  <si>
    <t>59624928052</t>
  </si>
  <si>
    <t>SVEUČILIŠTE U DUBROVNIKU</t>
  </si>
  <si>
    <t>BRANITELJA DUBROVNIKA 29</t>
  </si>
  <si>
    <t>20000 DUBROVNIK</t>
  </si>
  <si>
    <t>01338491514</t>
  </si>
  <si>
    <t>SVEUČILIŠTE U ZADRU</t>
  </si>
  <si>
    <t>UL.M.PAVLINOVIĆA BB.</t>
  </si>
  <si>
    <t>23000 ZADAR</t>
  </si>
  <si>
    <t>10839679016</t>
  </si>
  <si>
    <t>SVEUČILIŠTE U RIJECI</t>
  </si>
  <si>
    <t>TRG BRAĆE MAŽURANIĆA 10</t>
  </si>
  <si>
    <t>51000 RIJEKA</t>
  </si>
  <si>
    <t>64218323816</t>
  </si>
  <si>
    <t>SVEUČILIŠTE U RIJECI - AKADEMIJA PRIMJENJENIH UMJETNOSTI</t>
  </si>
  <si>
    <t>SLAVKA KRAUTZEKA 83</t>
  </si>
  <si>
    <t>55704161999</t>
  </si>
  <si>
    <t>SVEUČILIŠTE U RIJECI - EKONOMSKI FAKULTET</t>
  </si>
  <si>
    <t>IVANA FILIPOVIĆA 4</t>
  </si>
  <si>
    <t>26093119930</t>
  </si>
  <si>
    <t>SVEUČILIŠTE U RIJECI - FAKULTET ZA MENADŽMENT U TURIZMU I UGOSTITELJSTVU</t>
  </si>
  <si>
    <t>IKA PRIMORSKA 42</t>
  </si>
  <si>
    <t>51410 OPATIJA</t>
  </si>
  <si>
    <t>85799845149</t>
  </si>
  <si>
    <t>SVEUČILIŠTE U RIJECI - FILOZOFSKI FAKULTET</t>
  </si>
  <si>
    <t>SVEUČILIŠNA AVENIJA 4</t>
  </si>
  <si>
    <t>70505505759</t>
  </si>
  <si>
    <t>SVEUČILIŠTE U RIJECI - GRAĐEVINSKI FAKULTET U RIJECI</t>
  </si>
  <si>
    <t>RADMILE MATEJČIĆ 3</t>
  </si>
  <si>
    <t>92037849504</t>
  </si>
  <si>
    <t>SVEUČILIŠTE U RIJECI - MEDICINSKI FAKULTET</t>
  </si>
  <si>
    <t>BRAĆE BRANCHETTA 20</t>
  </si>
  <si>
    <t>98164324541</t>
  </si>
  <si>
    <t>SVEUČILIŠTE U RIJECI - POMORSKI FAKULTET</t>
  </si>
  <si>
    <t>STUDENTSKA 2</t>
  </si>
  <si>
    <t>76722145702</t>
  </si>
  <si>
    <t>SVEUČILIŠTE U RIJECI - PRAVNI FAKULTET</t>
  </si>
  <si>
    <t>HAHLIĆ 6</t>
  </si>
  <si>
    <t>43767699965</t>
  </si>
  <si>
    <t>SVEUČILIŠTE U RIJECI - SVEUČILIŠNA KNJIŽNICA</t>
  </si>
  <si>
    <t xml:space="preserve"> DOLAC 1</t>
  </si>
  <si>
    <t>84122581314</t>
  </si>
  <si>
    <t>SVEUČILIŠTE U RIJECI - TEHNIČKI FAKULTET</t>
  </si>
  <si>
    <t>VUKOVARSKA 58</t>
  </si>
  <si>
    <t>46319717480</t>
  </si>
  <si>
    <t>SVEUČILIŠTE U RIJECI - UČITELJSKI FAKULTET</t>
  </si>
  <si>
    <t>SVEUČILIŠNA AVENIJA 6</t>
  </si>
  <si>
    <t>96996385705</t>
  </si>
  <si>
    <t>SVEUČILIŠTE U RIJECI - FAKULTET ZDRAVSTVENIH STUDIJA U RIJECI</t>
  </si>
  <si>
    <t>VIKTORA CARA EMINA 5</t>
  </si>
  <si>
    <t>04052510</t>
  </si>
  <si>
    <t>19213484918</t>
  </si>
  <si>
    <t>SVEUČILIŠTE U SPLITU</t>
  </si>
  <si>
    <t>LIVANJSKA 5</t>
  </si>
  <si>
    <t>21000 SPLIT</t>
  </si>
  <si>
    <t>29845096215</t>
  </si>
  <si>
    <t>SVEUČILIŠTE U SPLITU - EKONOMSKI FAKULTET</t>
  </si>
  <si>
    <t>CVITE FISKOVIĆA 5</t>
  </si>
  <si>
    <t>84477684422</t>
  </si>
  <si>
    <t>SVEUČILIŠTE U SPLITU - FAKULTET ELEKTROTEHNIKE, STROJARSTVA I BRODOGRADNJE</t>
  </si>
  <si>
    <t>RUĐERA BOŠKOVIĆA 32</t>
  </si>
  <si>
    <t>00857144221</t>
  </si>
  <si>
    <t>SVEUČILIŠTE U SPLITU - FILOZOFSKI FAKULTET</t>
  </si>
  <si>
    <t>POLJIČKA CESTA 35</t>
  </si>
  <si>
    <t>98004523293</t>
  </si>
  <si>
    <t>SVEUČILIŠTE U SPLITU - FAKULTET GRAĐEVINARSTVA, ARHITEKTURE I GEODEZIJE</t>
  </si>
  <si>
    <t>MATICE HRVATSKE 15</t>
  </si>
  <si>
    <t>83615500218</t>
  </si>
  <si>
    <t>SVEUČILIŠTE U SPLITU - KEMIJSKO-TEHNOLOŠKI FAKULTET</t>
  </si>
  <si>
    <t>TESLINA 10</t>
  </si>
  <si>
    <t>99401575594</t>
  </si>
  <si>
    <t>SVEUČILIŠTE U SPLITU - KINEZIOLOŠKI FAKULTET</t>
  </si>
  <si>
    <t>NIKOLE TESLE 6</t>
  </si>
  <si>
    <t>57848936921</t>
  </si>
  <si>
    <t>SVEUČILIŠTE U SPLITU - KATOLIČKI BOGOSLOVNI FAKULTET</t>
  </si>
  <si>
    <t xml:space="preserve">ZRINSKOG FRANKOPANA 19 </t>
  </si>
  <si>
    <t>SVEUČILIŠTE U SPLITU - MEDICINSKI FAKULTET</t>
  </si>
  <si>
    <t>ŠOLTANSKA 2</t>
  </si>
  <si>
    <t>02879747067</t>
  </si>
  <si>
    <t>SVEUČILIŠTE U SPLITU - POMORSKI FAKULTET</t>
  </si>
  <si>
    <t>ZRINSKO-FRANKOPANSKA 38</t>
  </si>
  <si>
    <t>24624257529</t>
  </si>
  <si>
    <t>SVEUČILIŠTE U SPLITU - PRAVNI FAKULTET</t>
  </si>
  <si>
    <t>DOMOVINSKOG RATA 8</t>
  </si>
  <si>
    <t>03541568700</t>
  </si>
  <si>
    <t>SVEUČILIŠTE U SPLITU - PRIRODOSLOVNO - MATEMATIČKI FAKULTET</t>
  </si>
  <si>
    <t>NIKOLE TESLE 12</t>
  </si>
  <si>
    <t>20858497843</t>
  </si>
  <si>
    <t>SVEUČILIŠTE U SPLITU - SVEUČILIŠNA KNJIŽNICA</t>
  </si>
  <si>
    <t>RUĐERA BOŠKOVIĆA 31</t>
  </si>
  <si>
    <t>40099344720</t>
  </si>
  <si>
    <t>SVEUČILIŠTE U SPLITU - UMJETNIČKA AKADEMIJA</t>
  </si>
  <si>
    <t>ZAGREBAČKA 3</t>
  </si>
  <si>
    <t>38960125358</t>
  </si>
  <si>
    <t>SVEUČILIŠTE U ZAGREBU</t>
  </si>
  <si>
    <t>TRG MARŠALA TITA 14</t>
  </si>
  <si>
    <t>10000 ZAGREB</t>
  </si>
  <si>
    <t>36612267447</t>
  </si>
  <si>
    <t>SVEUČILIŠTE U ZAGREBU - AGRONOMSKI FAKULTET</t>
  </si>
  <si>
    <t>SVETOŠIMUNSKA CESTA 25</t>
  </si>
  <si>
    <t>76023745044</t>
  </si>
  <si>
    <t>SVEUČILIŠTE U ZAGREBU - AKADEMIJA DRAMSKE UMJETNOSTI</t>
  </si>
  <si>
    <t>TRG REPUBLIKE HRVATSKE 5</t>
  </si>
  <si>
    <t>52097842295</t>
  </si>
  <si>
    <t>SVEUČILIŠTE U ZAGREBU - AKADEMIJA LIKOVNIH UMJETNOSTI</t>
  </si>
  <si>
    <t>ILICA 85</t>
  </si>
  <si>
    <t>95847257607</t>
  </si>
  <si>
    <t xml:space="preserve">SVEUČILIŠTE U ZAGREBU - ARHITEKTONSKI FAKULTET </t>
  </si>
  <si>
    <t>KAČIĆEVA 26</t>
  </si>
  <si>
    <t>42061107444</t>
  </si>
  <si>
    <t xml:space="preserve">SVEUČILIŠTE U ZAGREBU - EDUKACIJSKO-REHABILITACIJSKI FAKULTET </t>
  </si>
  <si>
    <t>BORONGAJSKA CESTA 83F</t>
  </si>
  <si>
    <t>34967762426</t>
  </si>
  <si>
    <t>SVEUČILIŠTE U ZAGREBU - EKONOMSKI FAKULTET</t>
  </si>
  <si>
    <t>TRG J.F.KENNEDEYA 6</t>
  </si>
  <si>
    <t>27208467122</t>
  </si>
  <si>
    <t>SVEUČILIŠTE U ZAGREBU - FAKULTET ELEKTROTEHNIKE I RAČUNARSTVA</t>
  </si>
  <si>
    <t>UNSKA 3</t>
  </si>
  <si>
    <t>57029260362</t>
  </si>
  <si>
    <t>SVEUČILIŠTA U ZAGREBU - FAKULTET FILOZOFIJE I RELIGIJSKIH ZNANOSTI</t>
  </si>
  <si>
    <t>JORDANOVAC 110</t>
  </si>
  <si>
    <t>26975482530</t>
  </si>
  <si>
    <t xml:space="preserve">SVEUČILIŠTE U ZAGREBU - KATOLIČKI BOGOSLOVNI FAKULTET </t>
  </si>
  <si>
    <t xml:space="preserve">VLAŠKA 38 </t>
  </si>
  <si>
    <t>SVEUČILIŠTE U ZAGREBU - FAKULTET KEMIJSKOG INŽENJERSTVA I TEHNOLOGIJE</t>
  </si>
  <si>
    <t>MARULIĆEV TRG 19</t>
  </si>
  <si>
    <t>71259740533</t>
  </si>
  <si>
    <t>SVEUČILIŠTE U ZAGREBU - FAKULTET POLITIČKIH ZNANOSTI</t>
  </si>
  <si>
    <t>LEPUŠIĆEVA 6</t>
  </si>
  <si>
    <t>28011548575</t>
  </si>
  <si>
    <t>SVEUČILIŠTE U ZAGREBU - FAKULTET PROMETNIH ZNANOSTI</t>
  </si>
  <si>
    <t>VUKELIĆEVA 4</t>
  </si>
  <si>
    <t>25410051374</t>
  </si>
  <si>
    <t>SVEUČILIŠTE U ZAGREBU - FAKULTET STROJARSTVA I BRODOGRADNJE</t>
  </si>
  <si>
    <t>IVANA LUČIĆA 5</t>
  </si>
  <si>
    <t>22910368449</t>
  </si>
  <si>
    <t xml:space="preserve">SVEUČILIŠTE U ZAGREBU - FARMACEUTSKO-BIOKEMIJSKI FAKULTET </t>
  </si>
  <si>
    <t>ANTE KOVAČIĆA 1</t>
  </si>
  <si>
    <t>14509285435</t>
  </si>
  <si>
    <t>SVEUČILIŠTE U ZAGREBU - FILOZOFSKI FAKULTET</t>
  </si>
  <si>
    <t>IVANA LUČIĆA 3</t>
  </si>
  <si>
    <t>90633715804</t>
  </si>
  <si>
    <t>SVEUČILIŠTE U ZAGREBU - GEODETSKI FAKULTET</t>
  </si>
  <si>
    <t>A.KAČIĆA-MIOŠIĆA 26</t>
  </si>
  <si>
    <t>43594593297</t>
  </si>
  <si>
    <t>SVEUČILIŠTE U ZAGREBU - GEOTEHNIČKI FAKULTET</t>
  </si>
  <si>
    <t>HALLEROVA ALEJA 7</t>
  </si>
  <si>
    <t>42000 VARAŽDIN</t>
  </si>
  <si>
    <t>16146181375</t>
  </si>
  <si>
    <t>SVEUČILIŠTE U ZAGREBU - GRAĐEVINSKI FAKULTET</t>
  </si>
  <si>
    <t>FRA ANDRIJE KAČIĆA MIOŠIĆA 26</t>
  </si>
  <si>
    <t>62924153420</t>
  </si>
  <si>
    <t>SVEUČILIŠTE U ZAGREBU - GRAFIČKI FAKULTET</t>
  </si>
  <si>
    <t>GETALDIĆEVA 2</t>
  </si>
  <si>
    <t>25564990903</t>
  </si>
  <si>
    <t>SVEUČILIŠTE U ZAGREBU - KINEZIOLOŠKI FAKULTET</t>
  </si>
  <si>
    <t>HORVAĆANSKI ZAVOJ 15</t>
  </si>
  <si>
    <t>25329931628</t>
  </si>
  <si>
    <t>SVEUČILIŠTE U ZAGREBU - MEDICINSKI FAKULTET</t>
  </si>
  <si>
    <t>ŠALATA 3</t>
  </si>
  <si>
    <t>45001686598</t>
  </si>
  <si>
    <t>SVEUČILIŠTE U ZAGREBU - METALURŠKI FAKULTET SISAK</t>
  </si>
  <si>
    <t>ALEJA NARODNIH HEROJA 3</t>
  </si>
  <si>
    <t>44103 SISAK</t>
  </si>
  <si>
    <t>48006703414</t>
  </si>
  <si>
    <t>SVEUČILIŠTE U ZAGREBU - MUZIČKA AKADEMIJA</t>
  </si>
  <si>
    <t>GUNDULIĆEVA 6</t>
  </si>
  <si>
    <t>18422925218</t>
  </si>
  <si>
    <t>SVEUČILIŠTE U ZAGREBU - PRAVNI FAKULTET</t>
  </si>
  <si>
    <t>TRG REPUBLIKE HRVATSKE 14</t>
  </si>
  <si>
    <t>38583303160</t>
  </si>
  <si>
    <t>SVEUČILIŠTE U ZAGREBU - PREHRAMBENO BIOTEHNOLOŠKI FAKULTET</t>
  </si>
  <si>
    <t>PIEROTTJEVA 6</t>
  </si>
  <si>
    <t>47824453867</t>
  </si>
  <si>
    <t>SVEUČILIŠTE U ZAGREBU - PRIRODOSLOVNO-MATEMATIČKI FAKULTET</t>
  </si>
  <si>
    <t>HORVATOVAC 102A</t>
  </si>
  <si>
    <t>28163265527</t>
  </si>
  <si>
    <t>SVEUČILIŠTE U ZAGREBU - RUDARSKO-GEOLOŠKO-NAFTNI FAKULTET</t>
  </si>
  <si>
    <t>PIEROTTIJEVA 6</t>
  </si>
  <si>
    <t>99534693762</t>
  </si>
  <si>
    <t>SVEUČILIŠTE U ZAGREBU - STOMATOLOŠKI FAKULTET</t>
  </si>
  <si>
    <t>GUNDULIĆEVA 5</t>
  </si>
  <si>
    <t>70221464726</t>
  </si>
  <si>
    <t>SVEUČILIŠTE U ZAGREBU - ŠUMARSKI FAKULTET</t>
  </si>
  <si>
    <t>SVETOŠIMUNSKA C.25</t>
  </si>
  <si>
    <t>07699719217</t>
  </si>
  <si>
    <t>SVEUČILIŠTE U ZAGREBU - TEKSTILNO TEHNOLOŠKI FAKULTET</t>
  </si>
  <si>
    <t>PRILAZ BARUNA FILIPOVIĆA 28A</t>
  </si>
  <si>
    <t>43097527965</t>
  </si>
  <si>
    <t>SVEUČILIŠTE U ZAGREBU - UČITELJSKI FAKULTET</t>
  </si>
  <si>
    <t>SAVSKA CESTA 77</t>
  </si>
  <si>
    <t>72226488129</t>
  </si>
  <si>
    <t>SVEUČILIŠTE U ZAGREBU - VETERINARSKI FAKULTET</t>
  </si>
  <si>
    <t>HEINZELOVA 55</t>
  </si>
  <si>
    <t>36389528408</t>
  </si>
  <si>
    <t>FAKULTET ORGANIZACIJE I INFORMATIKE U VARAŽDINU</t>
  </si>
  <si>
    <t>PAVLINSKA 2</t>
  </si>
  <si>
    <t>02024882310</t>
  </si>
  <si>
    <t>MEĐIMURSKO VELEUČILIŠTE U ČAKOVCU</t>
  </si>
  <si>
    <t>MINISTARSTVO ZNANOSTI I OBRAZOVANJA</t>
  </si>
  <si>
    <t>BANA JOSIPA JELAČIĆA 22/A</t>
  </si>
  <si>
    <t>40000 ČAKOVEC</t>
  </si>
  <si>
    <t>31444990605</t>
  </si>
  <si>
    <t>TEHNIČKO VELEUČILIŠTE U ZAGREBU</t>
  </si>
  <si>
    <t>VRBIK 8</t>
  </si>
  <si>
    <t>08814003451</t>
  </si>
  <si>
    <t>VELEUČILIŠTE LAVOSLAV RUŽIČKA U VUKOVARU</t>
  </si>
  <si>
    <t>ŽUPANIJSKA 50</t>
  </si>
  <si>
    <t>32000 VUKOVAR</t>
  </si>
  <si>
    <t>21720825730</t>
  </si>
  <si>
    <t>VELEUČILIŠTE MARKO MARULIĆ U KNINU</t>
  </si>
  <si>
    <t xml:space="preserve">KRALJA PETRA KREŠIMIRA IV 30 </t>
  </si>
  <si>
    <t>22300 KNIN</t>
  </si>
  <si>
    <t>13664089430</t>
  </si>
  <si>
    <t>VELEUČILIŠTE NIKOLA TESLA U GOSPIĆU</t>
  </si>
  <si>
    <t>ULICA BANA IVANA KARLOVIĆA 16</t>
  </si>
  <si>
    <t>53000 GOSPIĆ</t>
  </si>
  <si>
    <t>42552392522</t>
  </si>
  <si>
    <t>VELEUČILIŠTE U KARLOVCU</t>
  </si>
  <si>
    <t>TRG J. J. STROSSMAYERA 9</t>
  </si>
  <si>
    <t>47000 KARLOVAC</t>
  </si>
  <si>
    <t>62820859976</t>
  </si>
  <si>
    <t>VELEUČILIŠTE U POŽEGI</t>
  </si>
  <si>
    <t>VUKOVARSKA 17</t>
  </si>
  <si>
    <t>34000 POŽEGA</t>
  </si>
  <si>
    <t>14821098391</t>
  </si>
  <si>
    <t>VELEUČILIŠTE U RIJECI</t>
  </si>
  <si>
    <t>TRPIMIROVA 2/V</t>
  </si>
  <si>
    <t>29573709870</t>
  </si>
  <si>
    <t>VELEUČILIŠTE U SLAVONSKOM BRODU</t>
  </si>
  <si>
    <t>DR. MILE BUDAKA 1</t>
  </si>
  <si>
    <t>06972269479</t>
  </si>
  <si>
    <t>VELEUČILIŠTE U ŠIBENIKU</t>
  </si>
  <si>
    <t>TRG A. HEBRANGA BR. 11</t>
  </si>
  <si>
    <t>22000 ŠIBENIK</t>
  </si>
  <si>
    <t>61727512157</t>
  </si>
  <si>
    <t>VELEUČILIŠTE HRVATSKO ZAGORJE</t>
  </si>
  <si>
    <t>VISOKA ŠKOLA ZA MENEDŽMENT U TURIZMU I INFORMATICI</t>
  </si>
  <si>
    <t>ULICA MATIJE GUPCA 78</t>
  </si>
  <si>
    <t>33000 VIROVITICA</t>
  </si>
  <si>
    <t>46576407858</t>
  </si>
  <si>
    <t>VISOKO GOSPODARSKO UČILIŠTE U KRIŽEVCIMA</t>
  </si>
  <si>
    <t>MILISLAVA DEMERCA 1</t>
  </si>
  <si>
    <t>48260 KRIŽEVCI</t>
  </si>
  <si>
    <t>75480885018</t>
  </si>
  <si>
    <t>ZDRAVSTVENO VELEUČILIŠTE</t>
  </si>
  <si>
    <t>MLINARSKA CESTA 38</t>
  </si>
  <si>
    <t>50952646228</t>
  </si>
  <si>
    <t>EKONOMSKI INSTITUT ZAGREB</t>
  </si>
  <si>
    <t>TRG JOHNA KENNEDYA 7</t>
  </si>
  <si>
    <t>70925432731</t>
  </si>
  <si>
    <t>Javni instituti</t>
  </si>
  <si>
    <t>08008</t>
  </si>
  <si>
    <t>HRVATSKI INSTITUT ZA POVIJEST</t>
  </si>
  <si>
    <t>OPATIČKA 10</t>
  </si>
  <si>
    <t>23296176633</t>
  </si>
  <si>
    <t>HRVATSKI VETERINARSKI INSTITUT</t>
  </si>
  <si>
    <t>SAVSKA CESTA 143</t>
  </si>
  <si>
    <t>29059177553</t>
  </si>
  <si>
    <t>INSTITUT DRUŠTVENIH ZNANOSTI IVO PILAR</t>
  </si>
  <si>
    <t>MARULIĆEV TRG 19/I</t>
  </si>
  <si>
    <t>32840574937</t>
  </si>
  <si>
    <t>INSTITUT RUĐER BOŠKOVIĆ</t>
  </si>
  <si>
    <t>BIJENIČKA CESTA 46</t>
  </si>
  <si>
    <t>69715301002</t>
  </si>
  <si>
    <t>INSTITUT ZA ANTROPOLOGIJU</t>
  </si>
  <si>
    <t>LJUDEVITA GAJA 32</t>
  </si>
  <si>
    <t>93710699926</t>
  </si>
  <si>
    <t>INSTITUT ZA ARHEOLOGIJU</t>
  </si>
  <si>
    <t>59796264563</t>
  </si>
  <si>
    <t>INSTITUT ZA DRUŠTVENA ISTRAŽIVANJA</t>
  </si>
  <si>
    <t>AMRUŠEVA 11</t>
  </si>
  <si>
    <t>11986338639</t>
  </si>
  <si>
    <t>INSTITUT ZA ETNOLOGIJU I FOLKLORISTIKU</t>
  </si>
  <si>
    <t>ŠUBIĆEVA 42</t>
  </si>
  <si>
    <t>37781872772</t>
  </si>
  <si>
    <t>INSTITUT ZA FILOZOFIJU</t>
  </si>
  <si>
    <t>UL.GRADA VUKOVARA 54</t>
  </si>
  <si>
    <t>43667021597</t>
  </si>
  <si>
    <t>INSTITUT ZA FIZIKU</t>
  </si>
  <si>
    <t>77627408491</t>
  </si>
  <si>
    <t xml:space="preserve">HRVATSKI GEOLOŠKI INSTITUT </t>
  </si>
  <si>
    <t>SACHSOVA 2</t>
  </si>
  <si>
    <t>43733878539</t>
  </si>
  <si>
    <t>INSTITUT ZA HRVATSKI JEZIK I JEZIKOSLOVLJE</t>
  </si>
  <si>
    <t>REPUBLIKE AUSTRIJE 16</t>
  </si>
  <si>
    <t>12268324202</t>
  </si>
  <si>
    <t>INSTITUT ZA JADRANSKE KULTURE I MELIORACIJU KRŠA</t>
  </si>
  <si>
    <t>PUT DUILOVA 11</t>
  </si>
  <si>
    <t>90884993104</t>
  </si>
  <si>
    <t>INSTITUT ZA JAVNE FINANCIJE</t>
  </si>
  <si>
    <t>SMIČIKLASOVA 21</t>
  </si>
  <si>
    <t>41683226810</t>
  </si>
  <si>
    <t>INSTITUT ZA MEDICINSKA ISTRAŽIVANJA I MEDICINU RADA</t>
  </si>
  <si>
    <t>KSAVERSKA CESTA 2</t>
  </si>
  <si>
    <t>30285469659</t>
  </si>
  <si>
    <t>INSTITUT ZA RAZVOJ I MEĐUNARODNE ODNOSE</t>
  </si>
  <si>
    <t>LJ.F. VUKOTINOVIĆA 2</t>
  </si>
  <si>
    <t>31120185175</t>
  </si>
  <si>
    <t>INSTITUT ZA MIGRACIJE I NARODNOSTI</t>
  </si>
  <si>
    <t>TRG STJEPANA RADIĆA 3</t>
  </si>
  <si>
    <t>80265403319</t>
  </si>
  <si>
    <t>INSTITUT ZA OCEANOGRAFIJU I RIBARSTVO</t>
  </si>
  <si>
    <t>ŠETALIŠTE I.MEŠTROVIĆA 63</t>
  </si>
  <si>
    <t>86235185568</t>
  </si>
  <si>
    <t>INSTITUT ZA POLJOPRIVREDU I TURIZAM</t>
  </si>
  <si>
    <t>CARLA HUGUESA 8</t>
  </si>
  <si>
    <t>52440 POREČ</t>
  </si>
  <si>
    <t>03850982961</t>
  </si>
  <si>
    <t>INSTITUT ZA POVIJEST UMJETNOSTI</t>
  </si>
  <si>
    <t>ULICA GRADA VUKOVARA 68</t>
  </si>
  <si>
    <t>59451980348</t>
  </si>
  <si>
    <t>INSTITUT ZA TURIZAM</t>
  </si>
  <si>
    <t>VRHOVEC 5</t>
  </si>
  <si>
    <t>10264179101</t>
  </si>
  <si>
    <t>STAROSLAVENSKI INSTITUT</t>
  </si>
  <si>
    <t>DEMETROVA 11</t>
  </si>
  <si>
    <t>15291942541</t>
  </si>
  <si>
    <t>HRVATSKI ŠUMARSKI INSTITUT</t>
  </si>
  <si>
    <t>CVJETNO NASELJE 41</t>
  </si>
  <si>
    <t>10450 JASTREBARSKO</t>
  </si>
  <si>
    <t>13579392023</t>
  </si>
  <si>
    <t>Poljoprivredni institut, Osijek</t>
  </si>
  <si>
    <t>DRŽAVNI ZAVOD ZA INTELEKTUALNO VLASNIŠTVO</t>
  </si>
  <si>
    <t>ULICA GRADA VUKOVARA 78</t>
  </si>
  <si>
    <t>89755384389</t>
  </si>
  <si>
    <t>Agencije</t>
  </si>
  <si>
    <t>NACIONALNA I SVEUČILIŠNA KNJIŽNICA U ZAGREBU</t>
  </si>
  <si>
    <t>HRVATSKE BRATSKE ZAJEDNICE 4</t>
  </si>
  <si>
    <t>84838770814</t>
  </si>
  <si>
    <t>HRVATSKA AKADEMSKA I ISTRAŽIVAČKA MREŽA - CARNET</t>
  </si>
  <si>
    <t>JOSIPA MAROHNIĆA 5</t>
  </si>
  <si>
    <t>58101996540</t>
  </si>
  <si>
    <t>LEKSIKOGRAFSKI ZAVOD MIROSLAV KRLEŽA</t>
  </si>
  <si>
    <t>FRANKOPANSKA 26</t>
  </si>
  <si>
    <t>49894241709</t>
  </si>
  <si>
    <t>SVEUČILIŠTE U ZAGREBU - SVEUČILIŠNI RAČUNSKI CENTAR - SRCE</t>
  </si>
  <si>
    <t>34016189309</t>
  </si>
  <si>
    <t>AGENCIJA ZA ODGOJ I OBRAZOVANJE</t>
  </si>
  <si>
    <t>DONJE SVETICE 38</t>
  </si>
  <si>
    <t>72193628411</t>
  </si>
  <si>
    <t>AGENCIJA ZA ZNANOST I VISOKO OBRAZOVANJE</t>
  </si>
  <si>
    <t>DONJE SVETICE 38/5</t>
  </si>
  <si>
    <t>83358955356</t>
  </si>
  <si>
    <t>NACIONALNI CENTAR ZA VANJSKO VREDNOVANJE OBRAZOVANJA</t>
  </si>
  <si>
    <t>PETRAČIĆEVA 4</t>
  </si>
  <si>
    <t>94833993984</t>
  </si>
  <si>
    <t>AGENCIJA ZA MOBILNOST I PROGRAME EUROPSKE UNIJE</t>
  </si>
  <si>
    <t>25385906011</t>
  </si>
  <si>
    <t>AGENCIJA ZA STRUKOVNO OBRAZOVANJE I OBRAZOVANJE ODRASLIH</t>
  </si>
  <si>
    <t>RADNIČKA CESTA 37B</t>
  </si>
  <si>
    <t>40719411729</t>
  </si>
  <si>
    <t>IZVOR 81                Namjenski primici od zaduživanja</t>
  </si>
  <si>
    <t>651</t>
  </si>
  <si>
    <t xml:space="preserve">Upravne i administrativne pristojbe </t>
  </si>
  <si>
    <t>Indeks Izmjene i dopune/Plan *100</t>
  </si>
  <si>
    <t>Šifra</t>
  </si>
  <si>
    <t>Naziv</t>
  </si>
  <si>
    <t xml:space="preserve">IZVOR 11              Opći prihodi i primici </t>
  </si>
  <si>
    <t>IZVOR 71                          Prihodi od nefin. imovine i nadoknade šteta s osnova osig.</t>
  </si>
  <si>
    <t>UKUPNO RASHODI I IZDACI</t>
  </si>
  <si>
    <t>RASHODI POSLOVANJA</t>
  </si>
  <si>
    <t>Rashodi za zaposlene</t>
  </si>
  <si>
    <t>Plaće</t>
  </si>
  <si>
    <t>Doprinisi na plaće</t>
  </si>
  <si>
    <t>Materijalni rashodi</t>
  </si>
  <si>
    <t>Naknade troškova zaposlenima</t>
  </si>
  <si>
    <t>Rashodi za materijal i energiju</t>
  </si>
  <si>
    <t>Rashodi za usluge</t>
  </si>
  <si>
    <t>Financijski rashodi</t>
  </si>
  <si>
    <t>Kamate za izdane vrijednosne papire</t>
  </si>
  <si>
    <t>Kamate za primljene kredite i zajmove</t>
  </si>
  <si>
    <t>Ostali financijski rashodi</t>
  </si>
  <si>
    <t>Subvencije</t>
  </si>
  <si>
    <t>Subvencije trgovačkim društvima u javnom sektoru</t>
  </si>
  <si>
    <t>Subvencije trgovačkim društvima, zadrugama, poljoprivrednicima i obrtnicima izvan javnog sektora</t>
  </si>
  <si>
    <t xml:space="preserve">Subvencije trgovačkim društvima, zadrugama, poljoprivrednicima i obrtnicima iz EU sredstava </t>
  </si>
  <si>
    <t>Pomoći dane u inozemstvo i unutar općeg proračuna</t>
  </si>
  <si>
    <t>Pomoći inozemnim vladama</t>
  </si>
  <si>
    <t>Pomoći međunarodnim organizacijama te institucijama i tijelima EU</t>
  </si>
  <si>
    <t>Pomoći unutar općeg proračuna</t>
  </si>
  <si>
    <t>Pomoći proračunskim korisnicima drugih proračuna</t>
  </si>
  <si>
    <t>Naknade građanima i kućanstvima na temelju osiguranja i druge naknade</t>
  </si>
  <si>
    <t>Naknade građanima i kućanstvima na temelju osiguranja</t>
  </si>
  <si>
    <t>Ostale naknade građanima i kućanstvima iz proračuna</t>
  </si>
  <si>
    <t>Ostali rashodi</t>
  </si>
  <si>
    <t>Tekuće donacije</t>
  </si>
  <si>
    <t>Kapitalne donacije</t>
  </si>
  <si>
    <t>Kazne, penali i naknade štete</t>
  </si>
  <si>
    <t xml:space="preserve">Kapitalne pomoći </t>
  </si>
  <si>
    <t>RASHODI ZA NABAVU NEFINANCIJSKE IMOVINE</t>
  </si>
  <si>
    <t>Rashodi za nabavu neproizvedene dugotrajne imovine</t>
  </si>
  <si>
    <t>Materijalna imovina - prirodna bogatstva</t>
  </si>
  <si>
    <t>Nematerijalna imovina</t>
  </si>
  <si>
    <t>Rashodi za nabavu proizvedene dugotrajne imovine</t>
  </si>
  <si>
    <t>Građevinski objekti</t>
  </si>
  <si>
    <t>Postrojenja i oprema</t>
  </si>
  <si>
    <t>Prijevozna sredstva</t>
  </si>
  <si>
    <t>Knjige, umjetnička djela i ostale izložbene vrijednosti</t>
  </si>
  <si>
    <t>Višegodišnji nasadi i osnovno stado</t>
  </si>
  <si>
    <t>Nematerijalna proizvedena imovina</t>
  </si>
  <si>
    <t>Plemeniti metali i ostale pohranjene vrijednosti</t>
  </si>
  <si>
    <t>Rashodi za nabavu proizvedene kratkotrajne imovine</t>
  </si>
  <si>
    <t>Rashodi za nabavu zaliha</t>
  </si>
  <si>
    <t>Rashodi za dodatna ulaganja na nefinancijskoj imovini</t>
  </si>
  <si>
    <t>Dodatna ulaganja na prijevoznim sredstvima</t>
  </si>
  <si>
    <t>Dodatna ulaganja za ostalu nefinancijsku imovinu</t>
  </si>
  <si>
    <t>Izdaci za dane zajmove i depozite</t>
  </si>
  <si>
    <t>Izdaci za dane zajmove neprofitnim organizacijama, građanima i kućanstvima</t>
  </si>
  <si>
    <t>Izdaci za dane zajmove trgovačkim društvima u javnom sektoru</t>
  </si>
  <si>
    <t xml:space="preserve">Izdaci za depozite i jamčevne pologe </t>
  </si>
  <si>
    <t>Izdaci za otplatu glavnice primljenih kredita i zajmova</t>
  </si>
  <si>
    <t>Otplata glavnice primljenih kredita i zajmova od kreditnih i ostalih financijskih institucija u javnom sektoru</t>
  </si>
  <si>
    <t>Otplata glavnice primljenih zajmova od trgovačkih društava u javnom sektoru</t>
  </si>
  <si>
    <t>Otplata glavnice primljenih kredita i zajmova od kreditnih i ostalih financijskih institucija izvan javnog sektora</t>
  </si>
  <si>
    <t>Otplata glavnice primljenih zajmova od trgovačkih društava i obrtnika izvan javnog sektora</t>
  </si>
  <si>
    <t>Otplata glavnice primljenih zajmova od drugih razina vlasti</t>
  </si>
  <si>
    <t>SVEUČILIŠTE JOSIPA JURJA STROSSMAYERA U OSIJEKU</t>
  </si>
  <si>
    <t>INDEKS IZMJENE I DOPUNE/PLAN*100</t>
  </si>
  <si>
    <t>PRIHODI I PRIMICI</t>
  </si>
  <si>
    <t>RASHODI I IZDACI</t>
  </si>
  <si>
    <t>NETO FINAN.</t>
  </si>
  <si>
    <t>A621003</t>
  </si>
  <si>
    <t>A622122</t>
  </si>
  <si>
    <t>A622123</t>
  </si>
  <si>
    <t>Pohranjene knjige, umjetnička djela i slične vrijednosti</t>
  </si>
  <si>
    <t>A621038</t>
  </si>
  <si>
    <t>A679090</t>
  </si>
  <si>
    <t>A679071</t>
  </si>
  <si>
    <t>SVEUKUPNO</t>
  </si>
  <si>
    <t>K679084</t>
  </si>
  <si>
    <t>K679106</t>
  </si>
  <si>
    <t>671 - izvor 11</t>
  </si>
  <si>
    <t xml:space="preserve">UKUPNO </t>
  </si>
  <si>
    <t>Tekuće pomoći od institucija i tijela EU - IPA</t>
  </si>
  <si>
    <t>Tekuće pomoći temeljem prijenosa EU sredstava</t>
  </si>
  <si>
    <t>Kapitalni prijenosi između proračunskih korisnika istog proračuna</t>
  </si>
  <si>
    <t>Kapitalne donacije od ostalih subjekata izvan opće države</t>
  </si>
  <si>
    <t>Ostali stambeni objekti izvor 71</t>
  </si>
  <si>
    <t>671 - izvor 12</t>
  </si>
  <si>
    <t>SVEUKUPNO PRIHODI</t>
  </si>
  <si>
    <t>SVEUKUPNO RASHODI</t>
  </si>
  <si>
    <t>RAZLIKA</t>
  </si>
  <si>
    <t>NETO</t>
  </si>
  <si>
    <t>Prihodi / rashodi</t>
  </si>
  <si>
    <t>Izvor</t>
  </si>
  <si>
    <t>Opis stavke</t>
  </si>
  <si>
    <t>Aktivnost</t>
  </si>
  <si>
    <t xml:space="preserve">KINEZIOLOŠKI FAKULTET </t>
  </si>
  <si>
    <t>UKUPNO 11</t>
  </si>
  <si>
    <t>Negativne tečajne razlike</t>
  </si>
  <si>
    <t>A6211833</t>
  </si>
  <si>
    <t>Automobili izvor 71</t>
  </si>
  <si>
    <t>Prihodi s naslova osiguranja</t>
  </si>
  <si>
    <t>Naknadaza rad članovima upravnog vijeća</t>
  </si>
  <si>
    <t>Materijal i djelovi za tek. I inv.od.</t>
  </si>
  <si>
    <t>Ostale pomoćI</t>
  </si>
  <si>
    <t>Sportska oprema</t>
  </si>
  <si>
    <t>Prihodi od pozitivnih tečajnih razlika</t>
  </si>
  <si>
    <t>Primici od povrata depozita od kreditnih i ostalih financijskih institucija -tuzemni</t>
  </si>
  <si>
    <t>Ostali građevinski objekti</t>
  </si>
  <si>
    <t>k679084</t>
  </si>
  <si>
    <t>Ulaganje u tuđoj imovini radi prava korištenja</t>
  </si>
  <si>
    <t>Pomoći iz inozemstva i od subjekata unutar istog proračuna</t>
  </si>
  <si>
    <t>Kapitalni prijenosi između proračunskih korisnika istog proračuna temeljem prijenosa EU sredstava</t>
  </si>
  <si>
    <t xml:space="preserve"> RASHOD</t>
  </si>
  <si>
    <t>zatezne kamate iz poslovnih odnosa</t>
  </si>
  <si>
    <t>inozemne donacije</t>
  </si>
  <si>
    <t>Prihodi od prodaje knjiga, umjetničkih djela i ostalih izložbenih vrijednosti</t>
  </si>
  <si>
    <t>724</t>
  </si>
  <si>
    <t>Umjetnička djela (izložena u galerijama, muzejima i slično)</t>
  </si>
  <si>
    <t>Primici od povrata depozita i jamčevnih pologa</t>
  </si>
  <si>
    <r>
      <t xml:space="preserve">ODNOS </t>
    </r>
    <r>
      <rPr>
        <b/>
        <sz val="8"/>
        <rFont val="Calibri"/>
        <family val="2"/>
        <charset val="238"/>
        <scheme val="minor"/>
      </rPr>
      <t>(unosi se s negativnim predznakom)</t>
    </r>
  </si>
  <si>
    <t>Inozemne donacije</t>
  </si>
  <si>
    <t xml:space="preserve"> Namjenski primici od zaduživanja</t>
  </si>
  <si>
    <t>UKUPNO 43</t>
  </si>
  <si>
    <t>UKUPNO  51</t>
  </si>
  <si>
    <t>UKUPNO  52</t>
  </si>
  <si>
    <t>UKUPNO 61</t>
  </si>
  <si>
    <t>UKUPNO 63</t>
  </si>
  <si>
    <t>UKUPNO 71</t>
  </si>
  <si>
    <t>UKUPNO 12</t>
  </si>
  <si>
    <t>UKUPNO 561</t>
  </si>
  <si>
    <t>UKUPNO 563</t>
  </si>
  <si>
    <t>Tekuće pomoći od institucija i tijela EU - ERDF</t>
  </si>
  <si>
    <t>Kapitalne pomoći od institucija i tijela EU - ERDF</t>
  </si>
  <si>
    <t>Tekuće pomoći od institucija i tijela EU - ESF</t>
  </si>
  <si>
    <t>Kapitalne pomoći od institucija i tijela EU - ESF</t>
  </si>
  <si>
    <t>Građevinsko zemljište</t>
  </si>
  <si>
    <t>Kamate na depozitu po viđenju</t>
  </si>
  <si>
    <t>Usluge banaka i platnog prometa</t>
  </si>
  <si>
    <t>Plaće za posebne uvjete rada</t>
  </si>
  <si>
    <t>Plaće za prekovremeni rad</t>
  </si>
  <si>
    <t>Doprinosi za mirovinsko osiguranje</t>
  </si>
  <si>
    <t>Doprinosi za obvezno osiguranje u slučaju nezaposlenosti</t>
  </si>
  <si>
    <t>Naknade za prijevoz, rad na terenu i odvojeni život</t>
  </si>
  <si>
    <t>Subvencije trgovačkim društvima</t>
  </si>
  <si>
    <t>Kazne, penali i naknade šteta</t>
  </si>
  <si>
    <t>Ostala nematerijalna imovina</t>
  </si>
  <si>
    <t>Ceste, željeznice i ostali prometni objekti</t>
  </si>
  <si>
    <t>Prijevozna sredstva u pomorskom i riječnom prometu</t>
  </si>
  <si>
    <t>Ostale nespomenute izložbene vrijednosti</t>
  </si>
  <si>
    <t>Ostala nematerijalna proizvedena imovina</t>
  </si>
  <si>
    <t>Prihodi na temelju refundacija rashoda iz prethodnih godina</t>
  </si>
  <si>
    <t>Ostali nespomenuti prihodi po posebnim propisima</t>
  </si>
  <si>
    <t>Kamate na oročena sredstva izvor 43</t>
  </si>
  <si>
    <t>Kamate na depozite po viđenju izvor 43</t>
  </si>
  <si>
    <t>ODNOS (stavite negativan predznak)</t>
  </si>
  <si>
    <t>REKTORAT I ODJELI</t>
  </si>
  <si>
    <t>AUK</t>
  </si>
  <si>
    <t>EFOS</t>
  </si>
  <si>
    <t>FAZOS</t>
  </si>
  <si>
    <t>FDMZOS</t>
  </si>
  <si>
    <t>FERIT</t>
  </si>
  <si>
    <t>FFOS</t>
  </si>
  <si>
    <t>FOOZOS</t>
  </si>
  <si>
    <t>GRAFOS</t>
  </si>
  <si>
    <t>KBF</t>
  </si>
  <si>
    <t>MEFOS</t>
  </si>
  <si>
    <t>PTFOS</t>
  </si>
  <si>
    <t>KIFOS</t>
  </si>
  <si>
    <t>SVEUKUPNO SA STUCOM</t>
  </si>
  <si>
    <t>Tekuće donacije u naravi</t>
  </si>
  <si>
    <t>K622128.002</t>
  </si>
  <si>
    <t>NOVI PROJEKT</t>
  </si>
  <si>
    <t>Naknade građanima i kućanstvima u novcu Iz EU sredstava</t>
  </si>
  <si>
    <t>tekuće donacije od subjekata izvan opće države</t>
  </si>
  <si>
    <t>Primici od financijske imovine i zaduživanja</t>
  </si>
  <si>
    <t>Primici od zaduživanja</t>
  </si>
  <si>
    <t xml:space="preserve">NAPOMENA: Molim vas nemojte niti dodavati,a  ni brisati redove i stupce, već ako imate nešto novo dodajte ispod napomene, hvala vam. </t>
  </si>
  <si>
    <t>u kunama,bez lipa</t>
  </si>
  <si>
    <t>u kunama, bez lipa</t>
  </si>
  <si>
    <t>Ukupan odnos neutrošenih prihoda u sljedeću godinu (kod odnosa stavite negativan predznak)</t>
  </si>
  <si>
    <t>kapitalne pomoći proračunskim korisnicima iz proračuna koji im nije nadležan</t>
  </si>
  <si>
    <t>KONSOLIDIRANI PREGLED PRIHODA I RASHODA, PRIMITAKA I IZDATAKA ZA 2022. GODINU</t>
  </si>
  <si>
    <t>FINANCIJSKI PLAN 2022.</t>
  </si>
  <si>
    <t>IZMJENE I DOPUNE FINANCIJSKOG PLANA ZA 2022.</t>
  </si>
  <si>
    <t>21.</t>
  </si>
  <si>
    <t>FAKULTET TURIZMA I RURALNOG RAZVOJA U POŽEGI</t>
  </si>
  <si>
    <t>R+O</t>
  </si>
  <si>
    <t>BEZ STUC</t>
  </si>
  <si>
    <t xml:space="preserve"> FINANCIJSKI PLAN ZA  2022. I PROJEKCIJA ZA 2023. I 2024. GODINU</t>
  </si>
  <si>
    <t>PFOS</t>
  </si>
  <si>
    <t>UKUPNO (bez STUCOS-a)</t>
  </si>
  <si>
    <t>STUCOS</t>
  </si>
  <si>
    <t>PLAN 2022.</t>
  </si>
  <si>
    <t>PROJEKCIJA 2023.</t>
  </si>
  <si>
    <t>PROJEKCIJA 2024.</t>
  </si>
  <si>
    <t>Negativne tečajne razlike i razlike zbog primjene valutne kl/5445</t>
  </si>
  <si>
    <t>Ostali nespomenuti financijski rashodi i 3423</t>
  </si>
  <si>
    <t>Naknade građanima i kućanstvima u novcu I 3722</t>
  </si>
  <si>
    <t>Izdaci za depozite</t>
  </si>
  <si>
    <t>Tekući prijenosi između proračunskih korisnika istog proračuna 3681</t>
  </si>
  <si>
    <t>Tekuće pomoći iz EU sredstava</t>
  </si>
  <si>
    <t>Naknade građanima i kućanstvima u novcu i 3722</t>
  </si>
  <si>
    <t>Doprinosi za obvezno zdravstveno osiguranje/3121</t>
  </si>
  <si>
    <t>Službena putovanja/3212</t>
  </si>
  <si>
    <t>Uredski materijal i ostali materijalni rashodi/3232</t>
  </si>
  <si>
    <t>Ostale usluge/3233</t>
  </si>
  <si>
    <t>Medicinska i laboratorijska oprema/3213</t>
  </si>
  <si>
    <t>Ostali nespomenuti rashodi poslovanja  i3294</t>
  </si>
  <si>
    <t>IZMJENE I DOPUNE FINANCIJSKOG PLANA ZA  2022. GODINU</t>
  </si>
  <si>
    <t>OSTVARENJE 31.10.2022.</t>
  </si>
  <si>
    <t>IZMJENE I DOPUNE 2022.</t>
  </si>
  <si>
    <t xml:space="preserve">NAPOMENA: Molim vas nemojte niti dodavati,a ni brisati redove i stupce, već ako imate nešto novo dodajte ispod napomene i označite žutom bojom, hvala vam. </t>
  </si>
  <si>
    <t>IZMJENE I DOPUNE FINANCIJSKOG PLANA ZA 2022. GODINU</t>
  </si>
  <si>
    <t>Plan
za 2022.</t>
  </si>
  <si>
    <t>Ostvarenje 31.10.2022.</t>
  </si>
  <si>
    <t>Izmjene i dopune  plana 
za 2022.</t>
  </si>
  <si>
    <t>U Osijeku,   studeni 2022.</t>
  </si>
  <si>
    <t>IZMJENE PLANA  PRIHODA I PRIMITAKA ZA 2022. GODINU</t>
  </si>
  <si>
    <t>IZMJENE I DOPUNE PLANA 
UKUPNO za 2022.</t>
  </si>
  <si>
    <t>PLAN ZA 2022.</t>
  </si>
  <si>
    <t>IZMJENE I DOPUNE FINANCIJSKOG PLANA RASHODA I IZDATAKA ZA 2022.  GODINU</t>
  </si>
  <si>
    <t>IZMJENE I DOPUNE PLANA UKUPNO za 2022.</t>
  </si>
  <si>
    <t>2022.</t>
  </si>
  <si>
    <t>FILOZOFSKI FAKULTET OSIJEK</t>
  </si>
  <si>
    <t>Uređaji</t>
  </si>
  <si>
    <t>Sastavnica: Filozofski fakultet Osijek</t>
  </si>
  <si>
    <t>A621181</t>
  </si>
  <si>
    <t>Ostale tekuće donacije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</si>
</sst>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kn&quot;;[Red]\-#,##0.00\ &quot;kn&quot;"/>
    <numFmt numFmtId="164" formatCode="#,##0_ ;\-#,##0\ "/>
    <numFmt numFmtId="165" formatCode="_-* #,##0.00_-;\-* #,##0.00_-;_-* &quot;-&quot;??_-;_-@_-"/>
    <numFmt numFmtId="166" formatCode="#&quot;.&quot;"/>
    <numFmt numFmtId="167" formatCode="00000000"/>
  </numFmts>
  <fonts count="85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Open Sans"/>
      <family val="2"/>
      <charset val="238"/>
    </font>
    <font>
      <sz val="8"/>
      <color rgb="FF000000"/>
      <name val="Calibri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MS Sans Serif"/>
      <family val="2"/>
      <charset val="238"/>
    </font>
    <font>
      <sz val="11"/>
      <color rgb="FF000000"/>
      <name val="Calibri"/>
      <family val="2"/>
      <charset val="238"/>
    </font>
    <font>
      <b/>
      <sz val="9"/>
      <color indexed="8"/>
      <name val="Arial"/>
      <family val="2"/>
      <charset val="238"/>
    </font>
    <font>
      <sz val="10"/>
      <color rgb="FF000000"/>
      <name val="Open Sans"/>
      <family val="2"/>
      <charset val="238"/>
    </font>
    <font>
      <sz val="9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.85"/>
      <color indexed="8"/>
      <name val="Times New Roman"/>
      <family val="1"/>
      <charset val="238"/>
    </font>
    <font>
      <b/>
      <sz val="8"/>
      <name val="Arial"/>
      <family val="2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Open Sans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8"/>
      <color indexed="9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b/>
      <sz val="10"/>
      <color indexed="62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8"/>
      <color indexed="8"/>
      <name val="Arial"/>
      <family val="2"/>
      <charset val="238"/>
    </font>
    <font>
      <sz val="9"/>
      <color rgb="FF000000"/>
      <name val="Calibri"/>
      <family val="2"/>
      <charset val="238"/>
    </font>
    <font>
      <sz val="10"/>
      <color indexed="8"/>
      <name val="MS Sans Serif"/>
      <family val="2"/>
      <charset val="238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sz val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8"/>
      <color indexed="9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i/>
      <sz val="8"/>
      <color indexed="8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sz val="10"/>
      <color indexed="8"/>
      <name val="Open Sans"/>
      <family val="2"/>
      <charset val="238"/>
    </font>
    <font>
      <sz val="9"/>
      <name val="Calibri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indexed="8"/>
      <name val="MS Sans Serif"/>
      <charset val="238"/>
    </font>
    <font>
      <sz val="9"/>
      <color rgb="FFFF0000"/>
      <name val="Calibri"/>
      <family val="2"/>
      <scheme val="minor"/>
    </font>
    <font>
      <sz val="10"/>
      <color indexed="8"/>
      <name val="Calibri"/>
      <family val="2"/>
      <charset val="238"/>
    </font>
  </fonts>
  <fills count="68">
    <fill>
      <patternFill patternType="none"/>
    </fill>
    <fill>
      <patternFill patternType="gray125"/>
    </fill>
    <fill>
      <patternFill patternType="none"/>
    </fill>
    <fill>
      <patternFill patternType="solid">
        <fgColor indexed="49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 style="thin">
        <color theme="0"/>
      </right>
      <top style="medium">
        <color indexed="64"/>
      </top>
      <bottom style="thin">
        <color indexed="9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thin">
        <color indexed="9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14">
    <xf numFmtId="0" fontId="0" fillId="0" borderId="0"/>
    <xf numFmtId="4" fontId="9" fillId="3" borderId="4" applyNumberFormat="0" applyProtection="0">
      <alignment horizontal="left" vertical="center" indent="1" justifyLastLine="1"/>
    </xf>
    <xf numFmtId="4" fontId="9" fillId="3" borderId="4" applyNumberFormat="0" applyProtection="0">
      <alignment horizontal="left" vertical="center" indent="1" justifyLastLine="1"/>
    </xf>
    <xf numFmtId="0" fontId="6" fillId="2" borderId="0"/>
    <xf numFmtId="4" fontId="9" fillId="2" borderId="4" applyNumberFormat="0" applyProtection="0">
      <alignment horizontal="right" vertical="center"/>
    </xf>
    <xf numFmtId="0" fontId="12" fillId="2" borderId="0"/>
    <xf numFmtId="0" fontId="13" fillId="2" borderId="0"/>
    <xf numFmtId="0" fontId="15" fillId="2" borderId="0"/>
    <xf numFmtId="0" fontId="5" fillId="2" borderId="0"/>
    <xf numFmtId="165" fontId="24" fillId="2" borderId="0" applyFont="0" applyFill="0" applyBorder="0" applyAlignment="0" applyProtection="0"/>
    <xf numFmtId="0" fontId="23" fillId="2" borderId="0"/>
    <xf numFmtId="0" fontId="7" fillId="2" borderId="0"/>
    <xf numFmtId="4" fontId="9" fillId="6" borderId="4" applyNumberFormat="0" applyProtection="0">
      <alignment vertical="center"/>
    </xf>
    <xf numFmtId="4" fontId="9" fillId="7" borderId="4" applyNumberFormat="0" applyProtection="0">
      <alignment horizontal="left" vertical="center" indent="1" justifyLastLine="1"/>
    </xf>
    <xf numFmtId="4" fontId="9" fillId="8" borderId="4" applyNumberFormat="0" applyProtection="0">
      <alignment horizontal="right" vertical="center"/>
    </xf>
    <xf numFmtId="0" fontId="9" fillId="5" borderId="4" applyNumberFormat="0" applyProtection="0">
      <alignment horizontal="left" vertical="center" indent="1" justifyLastLine="1"/>
    </xf>
    <xf numFmtId="0" fontId="9" fillId="9" borderId="4" applyNumberFormat="0" applyProtection="0">
      <alignment horizontal="left" vertical="center" indent="1" justifyLastLine="1"/>
    </xf>
    <xf numFmtId="0" fontId="9" fillId="4" borderId="4" applyNumberFormat="0" applyProtection="0">
      <alignment horizontal="left" vertical="center" indent="1" justifyLastLine="1"/>
    </xf>
    <xf numFmtId="0" fontId="9" fillId="10" borderId="4" applyNumberFormat="0" applyProtection="0">
      <alignment horizontal="left" vertical="center" indent="1" justifyLastLine="1"/>
    </xf>
    <xf numFmtId="0" fontId="25" fillId="11" borderId="27" applyBorder="0"/>
    <xf numFmtId="0" fontId="7" fillId="2" borderId="0"/>
    <xf numFmtId="4" fontId="10" fillId="13" borderId="4" applyNumberFormat="0" applyProtection="0">
      <alignment horizontal="left" vertical="center" indent="1"/>
    </xf>
    <xf numFmtId="4" fontId="10" fillId="13" borderId="4" applyNumberFormat="0" applyProtection="0">
      <alignment horizontal="left" vertical="center" indent="1"/>
    </xf>
    <xf numFmtId="0" fontId="5" fillId="2" borderId="0">
      <alignment vertical="center"/>
    </xf>
    <xf numFmtId="4" fontId="10" fillId="2" borderId="4" applyNumberFormat="0" applyProtection="0">
      <alignment horizontal="right" vertical="center"/>
    </xf>
    <xf numFmtId="4" fontId="9" fillId="6" borderId="31" applyNumberFormat="0" applyProtection="0">
      <alignment vertical="center"/>
    </xf>
    <xf numFmtId="4" fontId="9" fillId="7" borderId="31" applyNumberFormat="0" applyProtection="0">
      <alignment horizontal="left" vertical="center" indent="1" justifyLastLine="1"/>
    </xf>
    <xf numFmtId="4" fontId="9" fillId="3" borderId="31" applyNumberFormat="0" applyProtection="0">
      <alignment horizontal="left" vertical="center" indent="1" justifyLastLine="1"/>
    </xf>
    <xf numFmtId="4" fontId="9" fillId="8" borderId="31" applyNumberFormat="0" applyProtection="0">
      <alignment horizontal="right" vertical="center"/>
    </xf>
    <xf numFmtId="0" fontId="9" fillId="5" borderId="31" applyNumberFormat="0" applyProtection="0">
      <alignment horizontal="left" vertical="center" indent="1" justifyLastLine="1"/>
    </xf>
    <xf numFmtId="0" fontId="9" fillId="9" borderId="31" applyNumberFormat="0" applyProtection="0">
      <alignment horizontal="left" vertical="center" indent="1" justifyLastLine="1"/>
    </xf>
    <xf numFmtId="0" fontId="9" fillId="4" borderId="31" applyNumberFormat="0" applyProtection="0">
      <alignment horizontal="left" vertical="center" indent="1" justifyLastLine="1"/>
    </xf>
    <xf numFmtId="0" fontId="9" fillId="10" borderId="31" applyNumberFormat="0" applyProtection="0">
      <alignment horizontal="left" vertical="center" indent="1" justifyLastLine="1"/>
    </xf>
    <xf numFmtId="4" fontId="9" fillId="2" borderId="31" applyNumberFormat="0" applyProtection="0">
      <alignment horizontal="right" vertical="center"/>
    </xf>
    <xf numFmtId="4" fontId="9" fillId="3" borderId="31" applyNumberFormat="0" applyProtection="0">
      <alignment horizontal="left" vertical="center" indent="1" justifyLastLine="1"/>
    </xf>
    <xf numFmtId="4" fontId="10" fillId="13" borderId="31" applyNumberFormat="0" applyProtection="0">
      <alignment horizontal="left" vertical="center" indent="1"/>
    </xf>
    <xf numFmtId="4" fontId="10" fillId="13" borderId="31" applyNumberFormat="0" applyProtection="0">
      <alignment horizontal="left" vertical="center" indent="1"/>
    </xf>
    <xf numFmtId="4" fontId="10" fillId="2" borderId="31" applyNumberFormat="0" applyProtection="0">
      <alignment horizontal="right" vertical="center"/>
    </xf>
    <xf numFmtId="0" fontId="22" fillId="2" borderId="0"/>
    <xf numFmtId="0" fontId="22" fillId="2" borderId="0"/>
    <xf numFmtId="0" fontId="22" fillId="2" borderId="0"/>
    <xf numFmtId="0" fontId="33" fillId="2" borderId="0"/>
    <xf numFmtId="0" fontId="33" fillId="2" borderId="0"/>
    <xf numFmtId="0" fontId="22" fillId="2" borderId="0"/>
    <xf numFmtId="0" fontId="4" fillId="2" borderId="0"/>
    <xf numFmtId="0" fontId="4" fillId="2" borderId="0"/>
    <xf numFmtId="0" fontId="4" fillId="2" borderId="0">
      <alignment vertical="center"/>
    </xf>
    <xf numFmtId="0" fontId="3" fillId="2" borderId="0"/>
    <xf numFmtId="0" fontId="3" fillId="2" borderId="0"/>
    <xf numFmtId="0" fontId="3" fillId="2" borderId="0">
      <alignment vertical="center"/>
    </xf>
    <xf numFmtId="0" fontId="2" fillId="2" borderId="0"/>
    <xf numFmtId="0" fontId="51" fillId="2" borderId="0"/>
    <xf numFmtId="0" fontId="2" fillId="2" borderId="0"/>
    <xf numFmtId="0" fontId="2" fillId="2" borderId="0">
      <alignment vertical="center"/>
    </xf>
    <xf numFmtId="0" fontId="2" fillId="2" borderId="0"/>
    <xf numFmtId="0" fontId="2" fillId="2" borderId="0"/>
    <xf numFmtId="0" fontId="2" fillId="2" borderId="0">
      <alignment vertical="center"/>
    </xf>
    <xf numFmtId="0" fontId="2" fillId="2" borderId="0"/>
    <xf numFmtId="0" fontId="10" fillId="27" borderId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7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5" borderId="0" applyNumberFormat="0" applyBorder="0" applyAlignment="0" applyProtection="0"/>
    <xf numFmtId="0" fontId="57" fillId="36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7" fillId="39" borderId="0" applyNumberFormat="0" applyBorder="0" applyAlignment="0" applyProtection="0"/>
    <xf numFmtId="0" fontId="58" fillId="34" borderId="0" applyNumberFormat="0" applyBorder="0" applyAlignment="0" applyProtection="0"/>
    <xf numFmtId="0" fontId="58" fillId="40" borderId="0" applyNumberFormat="0" applyBorder="0" applyAlignment="0" applyProtection="0"/>
    <xf numFmtId="0" fontId="57" fillId="35" borderId="0" applyNumberFormat="0" applyBorder="0" applyAlignment="0" applyProtection="0"/>
    <xf numFmtId="0" fontId="58" fillId="41" borderId="0" applyNumberFormat="0" applyBorder="0" applyAlignment="0" applyProtection="0"/>
    <xf numFmtId="0" fontId="58" fillId="42" borderId="0" applyNumberFormat="0" applyBorder="0" applyAlignment="0" applyProtection="0"/>
    <xf numFmtId="0" fontId="57" fillId="33" borderId="0" applyNumberFormat="0" applyBorder="0" applyAlignment="0" applyProtection="0"/>
    <xf numFmtId="0" fontId="58" fillId="17" borderId="0" applyNumberFormat="0" applyBorder="0" applyAlignment="0" applyProtection="0"/>
    <xf numFmtId="0" fontId="58" fillId="43" borderId="0" applyNumberFormat="0" applyBorder="0" applyAlignment="0" applyProtection="0"/>
    <xf numFmtId="0" fontId="57" fillId="44" borderId="0" applyNumberFormat="0" applyBorder="0" applyAlignment="0" applyProtection="0"/>
    <xf numFmtId="0" fontId="59" fillId="45" borderId="0" applyNumberFormat="0" applyBorder="0" applyAlignment="0" applyProtection="0"/>
    <xf numFmtId="0" fontId="59" fillId="46" borderId="0" applyNumberFormat="0" applyBorder="0" applyAlignment="0" applyProtection="0"/>
    <xf numFmtId="0" fontId="59" fillId="47" borderId="0" applyNumberFormat="0" applyBorder="0" applyAlignment="0" applyProtection="0"/>
    <xf numFmtId="4" fontId="61" fillId="7" borderId="31" applyNumberFormat="0" applyProtection="0">
      <alignment vertical="center"/>
    </xf>
    <xf numFmtId="0" fontId="54" fillId="6" borderId="73" applyNumberFormat="0" applyProtection="0">
      <alignment horizontal="left" vertical="top" indent="1"/>
    </xf>
    <xf numFmtId="4" fontId="9" fillId="48" borderId="31" applyNumberFormat="0" applyProtection="0">
      <alignment horizontal="right" vertical="center"/>
    </xf>
    <xf numFmtId="4" fontId="9" fillId="49" borderId="31" applyNumberFormat="0" applyProtection="0">
      <alignment horizontal="right" vertical="center"/>
    </xf>
    <xf numFmtId="4" fontId="9" fillId="50" borderId="36" applyNumberFormat="0" applyProtection="0">
      <alignment horizontal="right" vertical="center"/>
    </xf>
    <xf numFmtId="4" fontId="9" fillId="30" borderId="31" applyNumberFormat="0" applyProtection="0">
      <alignment horizontal="right" vertical="center"/>
    </xf>
    <xf numFmtId="4" fontId="9" fillId="51" borderId="31" applyNumberFormat="0" applyProtection="0">
      <alignment horizontal="right" vertical="center"/>
    </xf>
    <xf numFmtId="4" fontId="9" fillId="52" borderId="31" applyNumberFormat="0" applyProtection="0">
      <alignment horizontal="right" vertical="center"/>
    </xf>
    <xf numFmtId="4" fontId="9" fillId="29" borderId="31" applyNumberFormat="0" applyProtection="0">
      <alignment horizontal="right" vertical="center"/>
    </xf>
    <xf numFmtId="4" fontId="9" fillId="28" borderId="31" applyNumberFormat="0" applyProtection="0">
      <alignment horizontal="right" vertical="center"/>
    </xf>
    <xf numFmtId="4" fontId="9" fillId="53" borderId="31" applyNumberFormat="0" applyProtection="0">
      <alignment horizontal="right" vertical="center"/>
    </xf>
    <xf numFmtId="4" fontId="9" fillId="54" borderId="36" applyNumberFormat="0" applyProtection="0">
      <alignment horizontal="left" vertical="center" indent="1" justifyLastLine="1"/>
    </xf>
    <xf numFmtId="4" fontId="53" fillId="11" borderId="36" applyNumberFormat="0" applyProtection="0">
      <alignment horizontal="left" vertical="center" indent="1" justifyLastLine="1"/>
    </xf>
    <xf numFmtId="4" fontId="53" fillId="11" borderId="36" applyNumberFormat="0" applyProtection="0">
      <alignment horizontal="left" vertical="center" indent="1" justifyLastLine="1"/>
    </xf>
    <xf numFmtId="4" fontId="9" fillId="10" borderId="36" applyNumberFormat="0" applyProtection="0">
      <alignment horizontal="left" vertical="center" indent="1" justifyLastLine="1"/>
    </xf>
    <xf numFmtId="4" fontId="9" fillId="8" borderId="36" applyNumberFormat="0" applyProtection="0">
      <alignment horizontal="left" vertical="center" indent="1" justifyLastLine="1"/>
    </xf>
    <xf numFmtId="0" fontId="9" fillId="11" borderId="73" applyNumberFormat="0" applyProtection="0">
      <alignment horizontal="left" vertical="top" indent="1"/>
    </xf>
    <xf numFmtId="0" fontId="9" fillId="8" borderId="73" applyNumberFormat="0" applyProtection="0">
      <alignment horizontal="left" vertical="top" indent="1"/>
    </xf>
    <xf numFmtId="0" fontId="9" fillId="4" borderId="73" applyNumberFormat="0" applyProtection="0">
      <alignment horizontal="left" vertical="top" indent="1"/>
    </xf>
    <xf numFmtId="0" fontId="9" fillId="10" borderId="73" applyNumberFormat="0" applyProtection="0">
      <alignment horizontal="left" vertical="top" indent="1"/>
    </xf>
    <xf numFmtId="0" fontId="9" fillId="55" borderId="74" applyNumberFormat="0">
      <protection locked="0"/>
    </xf>
    <xf numFmtId="4" fontId="52" fillId="56" borderId="73" applyNumberFormat="0" applyProtection="0">
      <alignment vertical="center"/>
    </xf>
    <xf numFmtId="4" fontId="62" fillId="2" borderId="3" applyNumberFormat="0" applyProtection="0">
      <alignment vertical="center"/>
    </xf>
    <xf numFmtId="4" fontId="52" fillId="5" borderId="73" applyNumberFormat="0" applyProtection="0">
      <alignment horizontal="left" vertical="center" indent="1"/>
    </xf>
    <xf numFmtId="0" fontId="52" fillId="56" borderId="73" applyNumberFormat="0" applyProtection="0">
      <alignment horizontal="left" vertical="top" indent="1"/>
    </xf>
    <xf numFmtId="4" fontId="61" fillId="15" borderId="31" applyNumberFormat="0" applyProtection="0">
      <alignment horizontal="right" vertical="center"/>
    </xf>
    <xf numFmtId="0" fontId="52" fillId="8" borderId="73" applyNumberFormat="0" applyProtection="0">
      <alignment horizontal="left" vertical="top" indent="1"/>
    </xf>
    <xf numFmtId="4" fontId="55" fillId="57" borderId="36" applyNumberFormat="0" applyProtection="0">
      <alignment horizontal="left" vertical="center" indent="1" justifyLastLine="1"/>
    </xf>
    <xf numFmtId="0" fontId="62" fillId="2" borderId="3"/>
    <xf numFmtId="4" fontId="56" fillId="55" borderId="31" applyNumberFormat="0" applyProtection="0">
      <alignment horizontal="right" vertical="center"/>
    </xf>
    <xf numFmtId="0" fontId="60" fillId="2" borderId="0" applyNumberFormat="0" applyFill="0" applyBorder="0" applyAlignment="0" applyProtection="0"/>
    <xf numFmtId="0" fontId="22" fillId="2" borderId="0"/>
    <xf numFmtId="0" fontId="1" fillId="2" borderId="0"/>
    <xf numFmtId="0" fontId="82" fillId="2" borderId="0"/>
  </cellStyleXfs>
  <cellXfs count="1044">
    <xf numFmtId="0" fontId="0" fillId="2" borderId="0" xfId="0" applyFill="1"/>
    <xf numFmtId="0" fontId="0" fillId="0" borderId="0" xfId="0"/>
    <xf numFmtId="0" fontId="27" fillId="2" borderId="0" xfId="0" applyNumberFormat="1" applyFont="1" applyFill="1" applyBorder="1" applyAlignment="1" applyProtection="1"/>
    <xf numFmtId="0" fontId="26" fillId="2" borderId="0" xfId="0" applyNumberFormat="1" applyFont="1" applyFill="1" applyBorder="1" applyAlignment="1" applyProtection="1">
      <alignment horizontal="center"/>
    </xf>
    <xf numFmtId="0" fontId="27" fillId="2" borderId="0" xfId="0" applyNumberFormat="1" applyFont="1" applyFill="1" applyBorder="1" applyAlignment="1" applyProtection="1">
      <alignment wrapText="1"/>
    </xf>
    <xf numFmtId="0" fontId="26" fillId="15" borderId="0" xfId="0" applyNumberFormat="1" applyFont="1" applyFill="1" applyBorder="1" applyAlignment="1" applyProtection="1">
      <alignment horizontal="center"/>
    </xf>
    <xf numFmtId="0" fontId="27" fillId="15" borderId="0" xfId="0" applyNumberFormat="1" applyFont="1" applyFill="1" applyBorder="1" applyAlignment="1" applyProtection="1">
      <alignment wrapText="1"/>
    </xf>
    <xf numFmtId="0" fontId="27" fillId="15" borderId="0" xfId="0" applyNumberFormat="1" applyFont="1" applyFill="1" applyBorder="1" applyAlignment="1" applyProtection="1"/>
    <xf numFmtId="0" fontId="31" fillId="2" borderId="0" xfId="20" applyFont="1" applyAlignment="1" applyProtection="1"/>
    <xf numFmtId="0" fontId="32" fillId="2" borderId="0" xfId="20" applyFont="1" applyAlignment="1" applyProtection="1">
      <alignment vertical="center"/>
    </xf>
    <xf numFmtId="0" fontId="34" fillId="2" borderId="0" xfId="20" applyFont="1" applyAlignment="1" applyProtection="1">
      <alignment vertical="center"/>
    </xf>
    <xf numFmtId="166" fontId="11" fillId="14" borderId="1" xfId="5" applyNumberFormat="1" applyFont="1" applyFill="1" applyBorder="1" applyAlignment="1" applyProtection="1">
      <alignment horizontal="center" vertical="center"/>
    </xf>
    <xf numFmtId="1" fontId="11" fillId="14" borderId="1" xfId="5" applyNumberFormat="1" applyFont="1" applyFill="1" applyBorder="1" applyAlignment="1" applyProtection="1">
      <alignment horizontal="right" vertical="center"/>
    </xf>
    <xf numFmtId="0" fontId="11" fillId="14" borderId="1" xfId="5" applyFont="1" applyFill="1" applyBorder="1" applyAlignment="1" applyProtection="1">
      <alignment horizontal="left" vertical="center"/>
    </xf>
    <xf numFmtId="167" fontId="11" fillId="14" borderId="1" xfId="5" applyNumberFormat="1" applyFont="1" applyFill="1" applyBorder="1" applyAlignment="1" applyProtection="1">
      <alignment horizontal="center" vertical="center"/>
    </xf>
    <xf numFmtId="49" fontId="11" fillId="14" borderId="1" xfId="5" applyNumberFormat="1" applyFont="1" applyFill="1" applyBorder="1" applyAlignment="1" applyProtection="1">
      <alignment horizontal="center" vertical="center"/>
    </xf>
    <xf numFmtId="49" fontId="0" fillId="0" borderId="0" xfId="0" applyNumberFormat="1" applyProtection="1"/>
    <xf numFmtId="0" fontId="11" fillId="14" borderId="1" xfId="42" applyFont="1" applyFill="1" applyBorder="1" applyAlignment="1" applyProtection="1">
      <alignment horizontal="left" vertical="center"/>
    </xf>
    <xf numFmtId="167" fontId="11" fillId="14" borderId="1" xfId="42" applyNumberFormat="1" applyFont="1" applyFill="1" applyBorder="1" applyAlignment="1" applyProtection="1">
      <alignment horizontal="center" vertical="center"/>
    </xf>
    <xf numFmtId="0" fontId="35" fillId="2" borderId="0" xfId="20" applyFont="1" applyAlignment="1" applyProtection="1">
      <alignment horizontal="left" vertical="center" wrapText="1"/>
    </xf>
    <xf numFmtId="0" fontId="28" fillId="2" borderId="36" xfId="20" applyFont="1" applyBorder="1" applyAlignment="1" applyProtection="1">
      <alignment horizontal="left" vertical="center" wrapText="1"/>
    </xf>
    <xf numFmtId="3" fontId="35" fillId="17" borderId="36" xfId="20" applyNumberFormat="1" applyFont="1" applyFill="1" applyBorder="1" applyAlignment="1" applyProtection="1">
      <alignment horizontal="right" vertical="center" wrapText="1"/>
    </xf>
    <xf numFmtId="3" fontId="35" fillId="2" borderId="36" xfId="20" applyNumberFormat="1" applyFont="1" applyFill="1" applyBorder="1" applyAlignment="1" applyProtection="1">
      <alignment horizontal="right" vertical="center"/>
    </xf>
    <xf numFmtId="0" fontId="28" fillId="2" borderId="36" xfId="20" applyFont="1" applyBorder="1" applyAlignment="1" applyProtection="1">
      <alignment horizontal="left" vertical="center"/>
    </xf>
    <xf numFmtId="3" fontId="32" fillId="2" borderId="0" xfId="20" applyNumberFormat="1" applyFont="1" applyAlignment="1" applyProtection="1">
      <alignment vertical="center"/>
    </xf>
    <xf numFmtId="3" fontId="35" fillId="17" borderId="36" xfId="20" applyNumberFormat="1" applyFont="1" applyFill="1" applyBorder="1" applyAlignment="1" applyProtection="1">
      <alignment horizontal="right" vertical="center"/>
    </xf>
    <xf numFmtId="3" fontId="35" fillId="2" borderId="36" xfId="20" applyNumberFormat="1" applyFont="1" applyFill="1" applyBorder="1" applyAlignment="1" applyProtection="1">
      <alignment horizontal="right" vertical="center" wrapText="1"/>
    </xf>
    <xf numFmtId="3" fontId="28" fillId="2" borderId="36" xfId="20" applyNumberFormat="1" applyFont="1" applyFill="1" applyBorder="1" applyAlignment="1" applyProtection="1">
      <alignment horizontal="right" vertical="center" wrapText="1"/>
    </xf>
    <xf numFmtId="0" fontId="35" fillId="2" borderId="36" xfId="20" applyFont="1" applyBorder="1" applyAlignment="1" applyProtection="1">
      <alignment horizontal="left" vertical="center" wrapText="1"/>
    </xf>
    <xf numFmtId="3" fontId="35" fillId="2" borderId="0" xfId="20" applyNumberFormat="1" applyFont="1" applyAlignment="1" applyProtection="1">
      <alignment horizontal="right" vertical="center"/>
    </xf>
    <xf numFmtId="3" fontId="29" fillId="2" borderId="0" xfId="20" applyNumberFormat="1" applyFont="1" applyAlignment="1" applyProtection="1">
      <alignment vertical="center"/>
    </xf>
    <xf numFmtId="8" fontId="32" fillId="2" borderId="0" xfId="20" applyNumberFormat="1" applyFont="1" applyAlignment="1" applyProtection="1">
      <alignment vertical="center"/>
    </xf>
    <xf numFmtId="0" fontId="30" fillId="2" borderId="0" xfId="20" applyFont="1" applyProtection="1"/>
    <xf numFmtId="0" fontId="30" fillId="2" borderId="0" xfId="20" applyFont="1" applyAlignment="1" applyProtection="1">
      <alignment vertical="center"/>
    </xf>
    <xf numFmtId="167" fontId="11" fillId="14" borderId="1" xfId="5" quotePrefix="1" applyNumberFormat="1" applyFont="1" applyFill="1" applyBorder="1" applyAlignment="1" applyProtection="1">
      <alignment horizontal="center" vertical="center"/>
    </xf>
    <xf numFmtId="0" fontId="11" fillId="14" borderId="1" xfId="5" applyFont="1" applyFill="1" applyBorder="1" applyAlignment="1" applyProtection="1"/>
    <xf numFmtId="167" fontId="11" fillId="14" borderId="1" xfId="5" applyNumberFormat="1" applyFont="1" applyFill="1" applyBorder="1" applyAlignment="1" applyProtection="1">
      <alignment horizontal="left" vertical="center"/>
    </xf>
    <xf numFmtId="166" fontId="11" fillId="19" borderId="1" xfId="5" applyNumberFormat="1" applyFont="1" applyFill="1" applyBorder="1" applyAlignment="1" applyProtection="1">
      <alignment horizontal="center" vertical="center"/>
    </xf>
    <xf numFmtId="1" fontId="11" fillId="19" borderId="1" xfId="5" applyNumberFormat="1" applyFont="1" applyFill="1" applyBorder="1" applyAlignment="1" applyProtection="1">
      <alignment horizontal="right" vertical="center"/>
    </xf>
    <xf numFmtId="0" fontId="11" fillId="19" borderId="1" xfId="5" applyFont="1" applyFill="1" applyBorder="1" applyAlignment="1" applyProtection="1">
      <alignment horizontal="left" vertical="center"/>
    </xf>
    <xf numFmtId="167" fontId="11" fillId="19" borderId="1" xfId="5" applyNumberFormat="1" applyFont="1" applyFill="1" applyBorder="1" applyAlignment="1" applyProtection="1">
      <alignment horizontal="center" vertical="center"/>
    </xf>
    <xf numFmtId="49" fontId="11" fillId="19" borderId="1" xfId="5" applyNumberFormat="1" applyFont="1" applyFill="1" applyBorder="1" applyAlignment="1" applyProtection="1">
      <alignment horizontal="center" vertical="center"/>
    </xf>
    <xf numFmtId="49" fontId="0" fillId="19" borderId="0" xfId="0" applyNumberFormat="1" applyFill="1" applyProtection="1"/>
    <xf numFmtId="167" fontId="11" fillId="19" borderId="1" xfId="5" applyNumberFormat="1" applyFont="1" applyFill="1" applyBorder="1" applyAlignment="1" applyProtection="1">
      <alignment horizontal="left" vertical="center"/>
    </xf>
    <xf numFmtId="0" fontId="0" fillId="19" borderId="0" xfId="0" applyFill="1" applyProtection="1"/>
    <xf numFmtId="0" fontId="42" fillId="12" borderId="35" xfId="5" applyFont="1" applyFill="1" applyBorder="1" applyAlignment="1" applyProtection="1">
      <alignment horizontal="center" vertical="center" wrapText="1"/>
    </xf>
    <xf numFmtId="0" fontId="42" fillId="12" borderId="35" xfId="5" applyNumberFormat="1" applyFont="1" applyFill="1" applyBorder="1" applyAlignment="1" applyProtection="1">
      <alignment horizontal="center" vertical="center" wrapText="1"/>
    </xf>
    <xf numFmtId="0" fontId="43" fillId="21" borderId="1" xfId="5" applyFont="1" applyFill="1" applyBorder="1" applyAlignment="1" applyProtection="1">
      <alignment vertical="center" wrapText="1"/>
    </xf>
    <xf numFmtId="3" fontId="43" fillId="21" borderId="1" xfId="5" applyNumberFormat="1" applyFont="1" applyFill="1" applyBorder="1" applyAlignment="1" applyProtection="1">
      <alignment vertical="center"/>
    </xf>
    <xf numFmtId="3" fontId="43" fillId="21" borderId="1" xfId="5" applyNumberFormat="1" applyFont="1" applyFill="1" applyBorder="1" applyAlignment="1" applyProtection="1">
      <alignment vertical="center" wrapText="1"/>
    </xf>
    <xf numFmtId="3" fontId="44" fillId="22" borderId="1" xfId="5" applyNumberFormat="1" applyFont="1" applyFill="1" applyBorder="1" applyAlignment="1" applyProtection="1">
      <alignment horizontal="left" vertical="center"/>
    </xf>
    <xf numFmtId="3" fontId="44" fillId="22" borderId="1" xfId="5" applyNumberFormat="1" applyFont="1" applyFill="1" applyBorder="1" applyAlignment="1" applyProtection="1">
      <alignment vertical="center" wrapText="1"/>
    </xf>
    <xf numFmtId="3" fontId="45" fillId="22" borderId="1" xfId="5" applyNumberFormat="1" applyFont="1" applyFill="1" applyBorder="1" applyProtection="1"/>
    <xf numFmtId="3" fontId="44" fillId="22" borderId="1" xfId="5" applyNumberFormat="1" applyFont="1" applyFill="1" applyBorder="1" applyAlignment="1" applyProtection="1">
      <alignment vertical="center"/>
    </xf>
    <xf numFmtId="3" fontId="46" fillId="15" borderId="1" xfId="5" applyNumberFormat="1" applyFont="1" applyFill="1" applyBorder="1" applyAlignment="1" applyProtection="1">
      <alignment horizontal="center" vertical="center"/>
    </xf>
    <xf numFmtId="3" fontId="46" fillId="15" borderId="1" xfId="5" applyNumberFormat="1" applyFont="1" applyFill="1" applyBorder="1" applyAlignment="1" applyProtection="1">
      <alignment vertical="center" wrapText="1"/>
    </xf>
    <xf numFmtId="3" fontId="47" fillId="20" borderId="1" xfId="5" applyNumberFormat="1" applyFont="1" applyFill="1" applyBorder="1" applyProtection="1"/>
    <xf numFmtId="3" fontId="46" fillId="20" borderId="1" xfId="5" applyNumberFormat="1" applyFont="1" applyFill="1" applyBorder="1" applyAlignment="1" applyProtection="1">
      <alignment vertical="center"/>
    </xf>
    <xf numFmtId="0" fontId="45" fillId="2" borderId="1" xfId="5" applyFont="1" applyBorder="1" applyProtection="1"/>
    <xf numFmtId="3" fontId="45" fillId="20" borderId="1" xfId="5" applyNumberFormat="1" applyFont="1" applyFill="1" applyBorder="1" applyProtection="1"/>
    <xf numFmtId="3" fontId="29" fillId="15" borderId="1" xfId="5" applyNumberFormat="1" applyFont="1" applyFill="1" applyBorder="1" applyAlignment="1" applyProtection="1">
      <alignment vertical="center"/>
    </xf>
    <xf numFmtId="0" fontId="44" fillId="2" borderId="1" xfId="5" applyFont="1" applyBorder="1" applyAlignment="1" applyProtection="1">
      <alignment vertical="center"/>
    </xf>
    <xf numFmtId="0" fontId="45" fillId="2" borderId="1" xfId="5" applyNumberFormat="1" applyFont="1" applyFill="1" applyBorder="1" applyAlignment="1" applyProtection="1">
      <alignment vertical="center"/>
    </xf>
    <xf numFmtId="3" fontId="45" fillId="20" borderId="1" xfId="5" applyNumberFormat="1" applyFont="1" applyFill="1" applyBorder="1" applyAlignment="1" applyProtection="1">
      <alignment vertical="center"/>
    </xf>
    <xf numFmtId="0" fontId="44" fillId="2" borderId="1" xfId="5" applyFont="1" applyFill="1" applyBorder="1" applyAlignment="1" applyProtection="1">
      <alignment vertical="center"/>
    </xf>
    <xf numFmtId="0" fontId="46" fillId="2" borderId="1" xfId="5" applyFont="1" applyFill="1" applyBorder="1" applyAlignment="1" applyProtection="1">
      <alignment horizontal="center" vertical="center"/>
    </xf>
    <xf numFmtId="0" fontId="47" fillId="2" borderId="1" xfId="5" applyNumberFormat="1" applyFont="1" applyFill="1" applyBorder="1" applyAlignment="1" applyProtection="1">
      <alignment vertical="center"/>
    </xf>
    <xf numFmtId="3" fontId="47" fillId="20" borderId="1" xfId="5" applyNumberFormat="1" applyFont="1" applyFill="1" applyBorder="1" applyAlignment="1" applyProtection="1">
      <alignment vertical="center"/>
    </xf>
    <xf numFmtId="0" fontId="44" fillId="2" borderId="1" xfId="43" applyFont="1" applyFill="1" applyBorder="1" applyAlignment="1" applyProtection="1">
      <alignment horizontal="left" vertical="center" wrapText="1"/>
    </xf>
    <xf numFmtId="0" fontId="44" fillId="2" borderId="1" xfId="5" applyFont="1" applyFill="1" applyBorder="1" applyAlignment="1" applyProtection="1">
      <alignment horizontal="right" vertical="center"/>
    </xf>
    <xf numFmtId="0" fontId="46" fillId="2" borderId="1" xfId="5" applyNumberFormat="1" applyFont="1" applyFill="1" applyBorder="1" applyAlignment="1" applyProtection="1">
      <alignment vertical="center"/>
    </xf>
    <xf numFmtId="0" fontId="44" fillId="2" borderId="1" xfId="5" applyNumberFormat="1" applyFont="1" applyFill="1" applyBorder="1" applyAlignment="1" applyProtection="1">
      <alignment vertical="center"/>
    </xf>
    <xf numFmtId="0" fontId="44" fillId="22" borderId="1" xfId="5" applyFont="1" applyFill="1" applyBorder="1" applyAlignment="1" applyProtection="1">
      <alignment horizontal="left" vertical="center"/>
    </xf>
    <xf numFmtId="0" fontId="45" fillId="22" borderId="1" xfId="5" applyFont="1" applyFill="1" applyBorder="1" applyAlignment="1" applyProtection="1">
      <alignment vertical="center"/>
    </xf>
    <xf numFmtId="3" fontId="45" fillId="22" borderId="1" xfId="5" applyNumberFormat="1" applyFont="1" applyFill="1" applyBorder="1" applyAlignment="1" applyProtection="1">
      <alignment vertical="center"/>
    </xf>
    <xf numFmtId="0" fontId="45" fillId="2" borderId="1" xfId="5" applyFont="1" applyBorder="1" applyAlignment="1" applyProtection="1">
      <alignment horizontal="right"/>
    </xf>
    <xf numFmtId="1" fontId="40" fillId="12" borderId="47" xfId="5" applyNumberFormat="1" applyFont="1" applyFill="1" applyBorder="1" applyAlignment="1" applyProtection="1">
      <alignment horizontal="center" vertical="center" wrapText="1"/>
    </xf>
    <xf numFmtId="3" fontId="44" fillId="23" borderId="1" xfId="5" applyNumberFormat="1" applyFont="1" applyFill="1" applyBorder="1" applyAlignment="1" applyProtection="1">
      <alignment vertical="center"/>
    </xf>
    <xf numFmtId="3" fontId="46" fillId="24" borderId="1" xfId="5" applyNumberFormat="1" applyFont="1" applyFill="1" applyBorder="1" applyAlignment="1" applyProtection="1">
      <alignment vertical="center"/>
    </xf>
    <xf numFmtId="3" fontId="43" fillId="26" borderId="1" xfId="5" applyNumberFormat="1" applyFont="1" applyFill="1" applyBorder="1" applyAlignment="1" applyProtection="1">
      <alignment vertical="center" wrapText="1"/>
    </xf>
    <xf numFmtId="3" fontId="40" fillId="12" borderId="47" xfId="5" applyNumberFormat="1" applyFont="1" applyFill="1" applyBorder="1" applyAlignment="1" applyProtection="1">
      <alignment horizontal="center" vertical="center" wrapText="1"/>
    </xf>
    <xf numFmtId="3" fontId="27" fillId="2" borderId="0" xfId="0" applyNumberFormat="1" applyFont="1" applyFill="1" applyBorder="1" applyAlignment="1" applyProtection="1"/>
    <xf numFmtId="3" fontId="27" fillId="2" borderId="1" xfId="0" applyNumberFormat="1" applyFont="1" applyFill="1" applyBorder="1" applyAlignment="1" applyProtection="1"/>
    <xf numFmtId="0" fontId="27" fillId="2" borderId="0" xfId="0" applyNumberFormat="1" applyFont="1" applyFill="1" applyBorder="1" applyAlignment="1" applyProtection="1">
      <alignment horizontal="center"/>
    </xf>
    <xf numFmtId="3" fontId="43" fillId="23" borderId="1" xfId="5" applyNumberFormat="1" applyFont="1" applyFill="1" applyBorder="1" applyAlignment="1" applyProtection="1">
      <alignment horizontal="center" vertical="center" wrapText="1"/>
    </xf>
    <xf numFmtId="3" fontId="43" fillId="24" borderId="1" xfId="5" applyNumberFormat="1" applyFont="1" applyFill="1" applyBorder="1" applyAlignment="1" applyProtection="1">
      <alignment horizontal="center" vertical="center" wrapText="1"/>
    </xf>
    <xf numFmtId="3" fontId="43" fillId="0" borderId="1" xfId="5" applyNumberFormat="1" applyFont="1" applyFill="1" applyBorder="1" applyAlignment="1" applyProtection="1">
      <alignment horizontal="center" vertical="center" wrapText="1"/>
    </xf>
    <xf numFmtId="3" fontId="16" fillId="2" borderId="15" xfId="20" applyNumberFormat="1" applyFont="1" applyFill="1" applyBorder="1" applyAlignment="1">
      <alignment vertical="center"/>
    </xf>
    <xf numFmtId="3" fontId="16" fillId="2" borderId="12" xfId="20" applyNumberFormat="1" applyFont="1" applyFill="1" applyBorder="1" applyAlignment="1">
      <alignment vertical="center"/>
    </xf>
    <xf numFmtId="3" fontId="16" fillId="2" borderId="67" xfId="20" applyNumberFormat="1" applyFont="1" applyFill="1" applyBorder="1" applyAlignment="1">
      <alignment vertical="center"/>
    </xf>
    <xf numFmtId="3" fontId="16" fillId="2" borderId="28" xfId="20" applyNumberFormat="1" applyFont="1" applyFill="1" applyBorder="1" applyAlignment="1">
      <alignment vertical="center"/>
    </xf>
    <xf numFmtId="3" fontId="16" fillId="2" borderId="2" xfId="20" applyNumberFormat="1" applyFont="1" applyFill="1" applyBorder="1" applyAlignment="1">
      <alignment vertical="center"/>
    </xf>
    <xf numFmtId="3" fontId="38" fillId="0" borderId="2" xfId="0" applyNumberFormat="1" applyFont="1" applyFill="1" applyBorder="1" applyAlignment="1">
      <alignment vertical="center"/>
    </xf>
    <xf numFmtId="3" fontId="65" fillId="2" borderId="0" xfId="0" applyNumberFormat="1" applyFont="1" applyFill="1"/>
    <xf numFmtId="1" fontId="65" fillId="2" borderId="0" xfId="0" applyNumberFormat="1" applyFont="1" applyFill="1" applyAlignment="1">
      <alignment horizontal="center" vertical="center"/>
    </xf>
    <xf numFmtId="0" fontId="65" fillId="2" borderId="0" xfId="0" applyFont="1" applyFill="1"/>
    <xf numFmtId="1" fontId="63" fillId="2" borderId="0" xfId="5" applyNumberFormat="1" applyFont="1" applyAlignment="1" applyProtection="1">
      <alignment vertical="center" wrapText="1"/>
    </xf>
    <xf numFmtId="0" fontId="63" fillId="2" borderId="0" xfId="5" applyFont="1" applyAlignment="1" applyProtection="1">
      <alignment vertical="center"/>
    </xf>
    <xf numFmtId="0" fontId="63" fillId="2" borderId="0" xfId="5" applyFont="1" applyAlignment="1" applyProtection="1">
      <alignment horizontal="right" vertical="center"/>
    </xf>
    <xf numFmtId="1" fontId="66" fillId="12" borderId="50" xfId="5" applyNumberFormat="1" applyFont="1" applyFill="1" applyBorder="1" applyAlignment="1" applyProtection="1">
      <alignment horizontal="left" vertical="center" wrapText="1"/>
    </xf>
    <xf numFmtId="0" fontId="66" fillId="12" borderId="35" xfId="5" applyFont="1" applyFill="1" applyBorder="1" applyAlignment="1" applyProtection="1">
      <alignment horizontal="center" vertical="center" wrapText="1"/>
    </xf>
    <xf numFmtId="0" fontId="65" fillId="2" borderId="58" xfId="0" applyFont="1" applyFill="1" applyBorder="1"/>
    <xf numFmtId="49" fontId="67" fillId="2" borderId="28" xfId="5" applyNumberFormat="1" applyFont="1" applyFill="1" applyBorder="1" applyAlignment="1" applyProtection="1">
      <alignment horizontal="left"/>
    </xf>
    <xf numFmtId="3" fontId="67" fillId="2" borderId="1" xfId="5" applyNumberFormat="1" applyFont="1" applyFill="1" applyBorder="1" applyAlignment="1" applyProtection="1">
      <alignment vertical="center"/>
      <protection locked="0"/>
    </xf>
    <xf numFmtId="3" fontId="67" fillId="2" borderId="2" xfId="5" applyNumberFormat="1" applyFont="1" applyFill="1" applyBorder="1" applyAlignment="1" applyProtection="1">
      <alignment vertical="center"/>
      <protection locked="0"/>
    </xf>
    <xf numFmtId="49" fontId="64" fillId="20" borderId="28" xfId="5" applyNumberFormat="1" applyFont="1" applyFill="1" applyBorder="1" applyAlignment="1" applyProtection="1">
      <alignment horizontal="left"/>
    </xf>
    <xf numFmtId="3" fontId="64" fillId="20" borderId="1" xfId="5" applyNumberFormat="1" applyFont="1" applyFill="1" applyBorder="1" applyAlignment="1" applyProtection="1">
      <alignment vertical="center"/>
    </xf>
    <xf numFmtId="3" fontId="64" fillId="20" borderId="2" xfId="5" applyNumberFormat="1" applyFont="1" applyFill="1" applyBorder="1" applyAlignment="1" applyProtection="1">
      <alignment vertical="center"/>
    </xf>
    <xf numFmtId="0" fontId="69" fillId="2" borderId="0" xfId="0" applyFont="1" applyFill="1"/>
    <xf numFmtId="3" fontId="69" fillId="2" borderId="0" xfId="0" applyNumberFormat="1" applyFont="1" applyFill="1"/>
    <xf numFmtId="164" fontId="67" fillId="2" borderId="1" xfId="5" applyNumberFormat="1" applyFont="1" applyFill="1" applyBorder="1" applyAlignment="1" applyProtection="1">
      <alignment vertical="center"/>
      <protection locked="0"/>
    </xf>
    <xf numFmtId="164" fontId="67" fillId="2" borderId="2" xfId="5" applyNumberFormat="1" applyFont="1" applyFill="1" applyBorder="1" applyAlignment="1" applyProtection="1">
      <alignment vertical="center"/>
      <protection locked="0"/>
    </xf>
    <xf numFmtId="0" fontId="69" fillId="2" borderId="58" xfId="0" applyFont="1" applyFill="1" applyBorder="1"/>
    <xf numFmtId="49" fontId="67" fillId="2" borderId="52" xfId="5" applyNumberFormat="1" applyFont="1" applyFill="1" applyBorder="1" applyAlignment="1" applyProtection="1">
      <alignment horizontal="left"/>
    </xf>
    <xf numFmtId="3" fontId="67" fillId="20" borderId="34" xfId="5" applyNumberFormat="1" applyFont="1" applyFill="1" applyBorder="1" applyAlignment="1" applyProtection="1">
      <alignment vertical="center"/>
    </xf>
    <xf numFmtId="3" fontId="67" fillId="20" borderId="46" xfId="5" applyNumberFormat="1" applyFont="1" applyFill="1" applyBorder="1" applyAlignment="1" applyProtection="1">
      <alignment vertical="center"/>
    </xf>
    <xf numFmtId="49" fontId="64" fillId="20" borderId="7" xfId="5" applyNumberFormat="1" applyFont="1" applyFill="1" applyBorder="1" applyAlignment="1" applyProtection="1">
      <alignment horizontal="left"/>
    </xf>
    <xf numFmtId="3" fontId="64" fillId="20" borderId="9" xfId="5" applyNumberFormat="1" applyFont="1" applyFill="1" applyBorder="1" applyAlignment="1" applyProtection="1">
      <alignment vertical="center"/>
    </xf>
    <xf numFmtId="3" fontId="64" fillId="20" borderId="10" xfId="5" applyNumberFormat="1" applyFont="1" applyFill="1" applyBorder="1" applyAlignment="1" applyProtection="1">
      <alignment vertical="center"/>
    </xf>
    <xf numFmtId="49" fontId="67" fillId="2" borderId="16" xfId="5" applyNumberFormat="1" applyFont="1" applyFill="1" applyBorder="1" applyAlignment="1" applyProtection="1">
      <alignment horizontal="left"/>
    </xf>
    <xf numFmtId="3" fontId="67" fillId="2" borderId="14" xfId="5" applyNumberFormat="1" applyFont="1" applyFill="1" applyBorder="1" applyAlignment="1" applyProtection="1">
      <alignment vertical="center"/>
    </xf>
    <xf numFmtId="3" fontId="67" fillId="2" borderId="15" xfId="5" applyNumberFormat="1" applyFont="1" applyFill="1" applyBorder="1" applyAlignment="1" applyProtection="1">
      <alignment vertical="center"/>
    </xf>
    <xf numFmtId="49" fontId="63" fillId="2" borderId="28" xfId="5" applyNumberFormat="1" applyFont="1" applyFill="1" applyBorder="1" applyAlignment="1" applyProtection="1">
      <alignment horizontal="left"/>
    </xf>
    <xf numFmtId="49" fontId="70" fillId="20" borderId="28" xfId="5" applyNumberFormat="1" applyFont="1" applyFill="1" applyBorder="1" applyAlignment="1" applyProtection="1">
      <alignment horizontal="left"/>
    </xf>
    <xf numFmtId="3" fontId="70" fillId="20" borderId="1" xfId="5" applyNumberFormat="1" applyFont="1" applyFill="1" applyBorder="1" applyAlignment="1" applyProtection="1">
      <alignment vertical="center"/>
    </xf>
    <xf numFmtId="3" fontId="70" fillId="20" borderId="2" xfId="5" applyNumberFormat="1" applyFont="1" applyFill="1" applyBorder="1" applyAlignment="1" applyProtection="1">
      <alignment vertical="center"/>
    </xf>
    <xf numFmtId="1" fontId="63" fillId="2" borderId="28" xfId="5" applyNumberFormat="1" applyFont="1" applyBorder="1" applyAlignment="1" applyProtection="1">
      <alignment horizontal="left" vertical="center" wrapText="1"/>
    </xf>
    <xf numFmtId="3" fontId="66" fillId="12" borderId="45" xfId="5" applyNumberFormat="1" applyFont="1" applyFill="1" applyBorder="1" applyAlignment="1" applyProtection="1">
      <alignment vertical="center"/>
    </xf>
    <xf numFmtId="3" fontId="66" fillId="12" borderId="54" xfId="5" applyNumberFormat="1" applyFont="1" applyFill="1" applyBorder="1" applyAlignment="1" applyProtection="1">
      <alignment vertical="center"/>
    </xf>
    <xf numFmtId="3" fontId="67" fillId="2" borderId="1" xfId="5" applyNumberFormat="1" applyFont="1" applyFill="1" applyBorder="1" applyAlignment="1" applyProtection="1">
      <alignment vertical="center"/>
    </xf>
    <xf numFmtId="3" fontId="63" fillId="0" borderId="1" xfId="0" applyNumberFormat="1" applyFont="1" applyFill="1" applyBorder="1" applyAlignment="1">
      <alignment vertical="center"/>
    </xf>
    <xf numFmtId="0" fontId="27" fillId="0" borderId="0" xfId="0" applyNumberFormat="1" applyFont="1" applyFill="1" applyBorder="1" applyAlignment="1" applyProtection="1"/>
    <xf numFmtId="0" fontId="31" fillId="2" borderId="0" xfId="20" applyFont="1" applyAlignment="1" applyProtection="1"/>
    <xf numFmtId="3" fontId="16" fillId="2" borderId="51" xfId="20" applyNumberFormat="1" applyFont="1" applyFill="1" applyBorder="1" applyAlignment="1">
      <alignment vertical="center"/>
    </xf>
    <xf numFmtId="3" fontId="77" fillId="0" borderId="0" xfId="0" applyNumberFormat="1" applyFont="1" applyFill="1" applyBorder="1" applyAlignment="1">
      <alignment vertical="center"/>
    </xf>
    <xf numFmtId="0" fontId="76" fillId="0" borderId="0" xfId="0" applyFont="1" applyFill="1" applyBorder="1"/>
    <xf numFmtId="1" fontId="37" fillId="0" borderId="0" xfId="0" applyNumberFormat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4" fontId="37" fillId="0" borderId="0" xfId="0" applyNumberFormat="1" applyFont="1" applyFill="1" applyBorder="1" applyAlignment="1">
      <alignment horizontal="center" vertical="center"/>
    </xf>
    <xf numFmtId="1" fontId="77" fillId="0" borderId="0" xfId="0" applyNumberFormat="1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vertical="center"/>
    </xf>
    <xf numFmtId="1" fontId="77" fillId="59" borderId="7" xfId="0" applyNumberFormat="1" applyFont="1" applyFill="1" applyBorder="1" applyAlignment="1">
      <alignment horizontal="center" vertical="center" wrapText="1"/>
    </xf>
    <xf numFmtId="0" fontId="77" fillId="59" borderId="9" xfId="0" applyFont="1" applyFill="1" applyBorder="1" applyAlignment="1">
      <alignment horizontal="center" vertical="center" wrapText="1"/>
    </xf>
    <xf numFmtId="3" fontId="77" fillId="59" borderId="9" xfId="0" applyNumberFormat="1" applyFont="1" applyFill="1" applyBorder="1" applyAlignment="1">
      <alignment horizontal="center" vertical="center" wrapText="1"/>
    </xf>
    <xf numFmtId="3" fontId="77" fillId="59" borderId="55" xfId="0" applyNumberFormat="1" applyFont="1" applyFill="1" applyBorder="1" applyAlignment="1">
      <alignment horizontal="center" vertical="center" wrapText="1"/>
    </xf>
    <xf numFmtId="0" fontId="76" fillId="0" borderId="0" xfId="0" applyFont="1" applyFill="1" applyBorder="1" applyAlignment="1">
      <alignment horizontal="center" vertical="center"/>
    </xf>
    <xf numFmtId="1" fontId="37" fillId="0" borderId="16" xfId="0" applyNumberFormat="1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 wrapText="1"/>
    </xf>
    <xf numFmtId="4" fontId="37" fillId="0" borderId="15" xfId="0" applyNumberFormat="1" applyFont="1" applyFill="1" applyBorder="1" applyAlignment="1">
      <alignment horizontal="center" vertical="center"/>
    </xf>
    <xf numFmtId="4" fontId="76" fillId="0" borderId="0" xfId="0" applyNumberFormat="1" applyFont="1" applyFill="1" applyBorder="1" applyAlignment="1">
      <alignment horizontal="right" vertical="center"/>
    </xf>
    <xf numFmtId="1" fontId="37" fillId="0" borderId="28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1" fontId="37" fillId="0" borderId="1" xfId="0" applyNumberFormat="1" applyFont="1" applyFill="1" applyBorder="1" applyAlignment="1">
      <alignment horizontal="center" vertical="center" wrapText="1"/>
    </xf>
    <xf numFmtId="4" fontId="37" fillId="0" borderId="2" xfId="0" applyNumberFormat="1" applyFont="1" applyFill="1" applyBorder="1" applyAlignment="1">
      <alignment horizontal="center" vertical="center"/>
    </xf>
    <xf numFmtId="1" fontId="37" fillId="0" borderId="33" xfId="0" applyNumberFormat="1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horizontal="center" vertical="center" wrapText="1"/>
    </xf>
    <xf numFmtId="4" fontId="37" fillId="0" borderId="6" xfId="0" applyNumberFormat="1" applyFont="1" applyFill="1" applyBorder="1" applyAlignment="1">
      <alignment horizontal="center" vertical="center"/>
    </xf>
    <xf numFmtId="1" fontId="77" fillId="60" borderId="7" xfId="0" applyNumberFormat="1" applyFont="1" applyFill="1" applyBorder="1" applyAlignment="1">
      <alignment horizontal="center" vertical="center"/>
    </xf>
    <xf numFmtId="0" fontId="77" fillId="60" borderId="9" xfId="0" applyFont="1" applyFill="1" applyBorder="1" applyAlignment="1">
      <alignment horizontal="center" vertical="center" wrapText="1"/>
    </xf>
    <xf numFmtId="4" fontId="77" fillId="60" borderId="10" xfId="0" applyNumberFormat="1" applyFont="1" applyFill="1" applyBorder="1" applyAlignment="1">
      <alignment horizontal="center" vertical="center"/>
    </xf>
    <xf numFmtId="4" fontId="78" fillId="0" borderId="0" xfId="0" applyNumberFormat="1" applyFont="1" applyFill="1" applyBorder="1" applyAlignment="1">
      <alignment horizontal="right" vertical="center"/>
    </xf>
    <xf numFmtId="0" fontId="78" fillId="0" borderId="0" xfId="0" applyFont="1" applyFill="1" applyBorder="1"/>
    <xf numFmtId="1" fontId="77" fillId="58" borderId="7" xfId="0" applyNumberFormat="1" applyFont="1" applyFill="1" applyBorder="1" applyAlignment="1">
      <alignment horizontal="center" vertical="center"/>
    </xf>
    <xf numFmtId="0" fontId="77" fillId="58" borderId="9" xfId="0" applyFont="1" applyFill="1" applyBorder="1" applyAlignment="1">
      <alignment horizontal="center" vertical="center" wrapText="1"/>
    </xf>
    <xf numFmtId="4" fontId="77" fillId="58" borderId="10" xfId="0" applyNumberFormat="1" applyFont="1" applyFill="1" applyBorder="1" applyAlignment="1">
      <alignment horizontal="center" vertical="center"/>
    </xf>
    <xf numFmtId="4" fontId="77" fillId="0" borderId="0" xfId="0" applyNumberFormat="1" applyFont="1" applyFill="1" applyBorder="1" applyAlignment="1">
      <alignment horizontal="right" vertical="center"/>
    </xf>
    <xf numFmtId="0" fontId="77" fillId="0" borderId="0" xfId="0" applyFont="1" applyFill="1" applyBorder="1"/>
    <xf numFmtId="1" fontId="77" fillId="60" borderId="20" xfId="0" applyNumberFormat="1" applyFont="1" applyFill="1" applyBorder="1" applyAlignment="1">
      <alignment horizontal="center" vertical="center"/>
    </xf>
    <xf numFmtId="0" fontId="77" fillId="60" borderId="80" xfId="0" applyFont="1" applyFill="1" applyBorder="1" applyAlignment="1">
      <alignment horizontal="center" vertical="center" wrapText="1"/>
    </xf>
    <xf numFmtId="4" fontId="77" fillId="60" borderId="76" xfId="0" applyNumberFormat="1" applyFont="1" applyFill="1" applyBorder="1" applyAlignment="1">
      <alignment horizontal="center" vertical="center"/>
    </xf>
    <xf numFmtId="1" fontId="77" fillId="58" borderId="62" xfId="0" applyNumberFormat="1" applyFont="1" applyFill="1" applyBorder="1" applyAlignment="1">
      <alignment horizontal="center" vertical="center"/>
    </xf>
    <xf numFmtId="0" fontId="77" fillId="58" borderId="78" xfId="0" applyFont="1" applyFill="1" applyBorder="1" applyAlignment="1">
      <alignment horizontal="center" vertical="center" wrapText="1"/>
    </xf>
    <xf numFmtId="4" fontId="77" fillId="58" borderId="65" xfId="0" applyNumberFormat="1" applyFont="1" applyFill="1" applyBorder="1" applyAlignment="1">
      <alignment horizontal="center" vertical="center"/>
    </xf>
    <xf numFmtId="1" fontId="77" fillId="58" borderId="20" xfId="0" applyNumberFormat="1" applyFont="1" applyFill="1" applyBorder="1" applyAlignment="1">
      <alignment horizontal="center" vertical="center"/>
    </xf>
    <xf numFmtId="0" fontId="77" fillId="58" borderId="80" xfId="0" applyFont="1" applyFill="1" applyBorder="1" applyAlignment="1">
      <alignment horizontal="center" vertical="center" wrapText="1"/>
    </xf>
    <xf numFmtId="4" fontId="77" fillId="58" borderId="76" xfId="0" applyNumberFormat="1" applyFont="1" applyFill="1" applyBorder="1" applyAlignment="1">
      <alignment horizontal="center" vertical="center"/>
    </xf>
    <xf numFmtId="1" fontId="77" fillId="61" borderId="7" xfId="0" applyNumberFormat="1" applyFont="1" applyFill="1" applyBorder="1" applyAlignment="1">
      <alignment horizontal="center" vertical="center"/>
    </xf>
    <xf numFmtId="0" fontId="77" fillId="61" borderId="9" xfId="0" applyFont="1" applyFill="1" applyBorder="1" applyAlignment="1">
      <alignment horizontal="center" vertical="center" wrapText="1"/>
    </xf>
    <xf numFmtId="4" fontId="77" fillId="61" borderId="10" xfId="0" applyNumberFormat="1" applyFont="1" applyFill="1" applyBorder="1" applyAlignment="1">
      <alignment horizontal="center" vertical="center"/>
    </xf>
    <xf numFmtId="1" fontId="77" fillId="0" borderId="21" xfId="0" applyNumberFormat="1" applyFont="1" applyFill="1" applyBorder="1" applyAlignment="1">
      <alignment horizontal="center" vertical="center"/>
    </xf>
    <xf numFmtId="0" fontId="77" fillId="0" borderId="81" xfId="0" applyFont="1" applyFill="1" applyBorder="1" applyAlignment="1">
      <alignment horizontal="center" vertical="center" wrapText="1"/>
    </xf>
    <xf numFmtId="3" fontId="77" fillId="0" borderId="81" xfId="0" applyNumberFormat="1" applyFont="1" applyFill="1" applyBorder="1" applyAlignment="1">
      <alignment vertical="center"/>
    </xf>
    <xf numFmtId="3" fontId="77" fillId="0" borderId="22" xfId="0" applyNumberFormat="1" applyFont="1" applyFill="1" applyBorder="1" applyAlignment="1">
      <alignment vertical="center"/>
    </xf>
    <xf numFmtId="1" fontId="77" fillId="0" borderId="28" xfId="0" applyNumberFormat="1" applyFont="1" applyFill="1" applyBorder="1" applyAlignment="1">
      <alignment horizontal="center" vertical="center"/>
    </xf>
    <xf numFmtId="0" fontId="77" fillId="0" borderId="1" xfId="0" applyFont="1" applyFill="1" applyBorder="1" applyAlignment="1">
      <alignment horizontal="center" vertical="center" wrapText="1"/>
    </xf>
    <xf numFmtId="3" fontId="77" fillId="0" borderId="1" xfId="0" applyNumberFormat="1" applyFont="1" applyFill="1" applyBorder="1" applyAlignment="1">
      <alignment vertical="center"/>
    </xf>
    <xf numFmtId="3" fontId="77" fillId="0" borderId="29" xfId="0" applyNumberFormat="1" applyFont="1" applyFill="1" applyBorder="1" applyAlignment="1">
      <alignment vertical="center"/>
    </xf>
    <xf numFmtId="0" fontId="77" fillId="0" borderId="28" xfId="0" applyFont="1" applyFill="1" applyBorder="1" applyAlignment="1">
      <alignment horizontal="center" vertical="center"/>
    </xf>
    <xf numFmtId="0" fontId="77" fillId="0" borderId="23" xfId="0" applyFont="1" applyFill="1" applyBorder="1" applyAlignment="1">
      <alignment horizontal="center" vertical="center"/>
    </xf>
    <xf numFmtId="0" fontId="77" fillId="0" borderId="24" xfId="0" applyFont="1" applyFill="1" applyBorder="1" applyAlignment="1">
      <alignment horizontal="center" vertical="center" wrapText="1"/>
    </xf>
    <xf numFmtId="3" fontId="77" fillId="0" borderId="24" xfId="0" applyNumberFormat="1" applyFont="1" applyFill="1" applyBorder="1" applyAlignment="1">
      <alignment vertical="center"/>
    </xf>
    <xf numFmtId="3" fontId="77" fillId="0" borderId="25" xfId="0" applyNumberFormat="1" applyFont="1" applyFill="1" applyBorder="1" applyAlignment="1">
      <alignment vertical="center"/>
    </xf>
    <xf numFmtId="0" fontId="73" fillId="0" borderId="1" xfId="34" quotePrefix="1" applyNumberFormat="1" applyFont="1" applyFill="1" applyBorder="1" applyAlignment="1" applyProtection="1">
      <alignment horizontal="center" vertical="center" justifyLastLine="1"/>
      <protection locked="0"/>
    </xf>
    <xf numFmtId="0" fontId="73" fillId="0" borderId="14" xfId="34" quotePrefix="1" applyNumberFormat="1" applyFont="1" applyFill="1" applyBorder="1" applyAlignment="1" applyProtection="1">
      <alignment horizontal="center" vertical="center" justifyLastLine="1"/>
      <protection locked="0"/>
    </xf>
    <xf numFmtId="0" fontId="73" fillId="0" borderId="5" xfId="34" quotePrefix="1" applyNumberFormat="1" applyFont="1" applyFill="1" applyBorder="1" applyAlignment="1" applyProtection="1">
      <alignment horizontal="center" vertical="center" justifyLastLine="1"/>
      <protection locked="0"/>
    </xf>
    <xf numFmtId="1" fontId="37" fillId="0" borderId="21" xfId="0" applyNumberFormat="1" applyFont="1" applyFill="1" applyBorder="1" applyAlignment="1">
      <alignment horizontal="center" vertical="center"/>
    </xf>
    <xf numFmtId="0" fontId="37" fillId="0" borderId="81" xfId="0" applyFont="1" applyFill="1" applyBorder="1" applyAlignment="1">
      <alignment horizontal="center" vertical="center" wrapText="1"/>
    </xf>
    <xf numFmtId="0" fontId="73" fillId="0" borderId="81" xfId="34" quotePrefix="1" applyNumberFormat="1" applyFont="1" applyFill="1" applyBorder="1" applyAlignment="1" applyProtection="1">
      <alignment horizontal="center" vertical="center" justifyLastLine="1"/>
      <protection locked="0"/>
    </xf>
    <xf numFmtId="1" fontId="37" fillId="0" borderId="23" xfId="0" applyNumberFormat="1" applyFont="1" applyFill="1" applyBorder="1" applyAlignment="1">
      <alignment horizontal="center" vertical="center"/>
    </xf>
    <xf numFmtId="0" fontId="37" fillId="0" borderId="24" xfId="0" applyFont="1" applyFill="1" applyBorder="1" applyAlignment="1">
      <alignment horizontal="center" vertical="center" wrapText="1"/>
    </xf>
    <xf numFmtId="0" fontId="73" fillId="0" borderId="24" xfId="34" quotePrefix="1" applyNumberFormat="1" applyFont="1" applyFill="1" applyBorder="1" applyAlignment="1" applyProtection="1">
      <alignment horizontal="center" vertical="center" justifyLastLine="1"/>
      <protection locked="0"/>
    </xf>
    <xf numFmtId="4" fontId="37" fillId="0" borderId="22" xfId="0" applyNumberFormat="1" applyFont="1" applyFill="1" applyBorder="1" applyAlignment="1">
      <alignment horizontal="center" vertical="center"/>
    </xf>
    <xf numFmtId="4" fontId="37" fillId="0" borderId="17" xfId="0" applyNumberFormat="1" applyFont="1" applyFill="1" applyBorder="1" applyAlignment="1">
      <alignment horizontal="center" vertical="center"/>
    </xf>
    <xf numFmtId="4" fontId="37" fillId="0" borderId="25" xfId="0" applyNumberFormat="1" applyFont="1" applyFill="1" applyBorder="1" applyAlignment="1">
      <alignment horizontal="center" vertical="center"/>
    </xf>
    <xf numFmtId="0" fontId="73" fillId="0" borderId="16" xfId="34" quotePrefix="1" applyNumberFormat="1" applyFont="1" applyFill="1" applyBorder="1" applyAlignment="1">
      <alignment horizontal="center" vertical="center" wrapText="1" justifyLastLine="1"/>
    </xf>
    <xf numFmtId="0" fontId="73" fillId="0" borderId="14" xfId="5" applyFont="1" applyFill="1" applyBorder="1" applyAlignment="1">
      <alignment horizontal="center" vertical="center"/>
    </xf>
    <xf numFmtId="0" fontId="73" fillId="0" borderId="1" xfId="5" applyFont="1" applyFill="1" applyBorder="1" applyAlignment="1">
      <alignment horizontal="center" vertical="center"/>
    </xf>
    <xf numFmtId="0" fontId="73" fillId="0" borderId="52" xfId="34" quotePrefix="1" applyNumberFormat="1" applyFont="1" applyFill="1" applyBorder="1" applyAlignment="1">
      <alignment horizontal="center" vertical="center" wrapText="1" justifyLastLine="1"/>
    </xf>
    <xf numFmtId="0" fontId="73" fillId="0" borderId="34" xfId="5" applyFont="1" applyFill="1" applyBorder="1" applyAlignment="1">
      <alignment horizontal="center" vertical="center"/>
    </xf>
    <xf numFmtId="0" fontId="73" fillId="0" borderId="5" xfId="5" applyFont="1" applyFill="1" applyBorder="1" applyAlignment="1">
      <alignment horizontal="center" vertical="center"/>
    </xf>
    <xf numFmtId="4" fontId="77" fillId="60" borderId="55" xfId="0" applyNumberFormat="1" applyFont="1" applyFill="1" applyBorder="1" applyAlignment="1">
      <alignment horizontal="center" vertical="center"/>
    </xf>
    <xf numFmtId="49" fontId="11" fillId="0" borderId="17" xfId="33" applyNumberFormat="1" applyFont="1" applyFill="1" applyBorder="1" applyAlignment="1" applyProtection="1">
      <alignment horizontal="center" vertical="center" wrapText="1"/>
      <protection locked="0"/>
    </xf>
    <xf numFmtId="49" fontId="11" fillId="0" borderId="29" xfId="33" applyNumberFormat="1" applyFont="1" applyFill="1" applyBorder="1" applyAlignment="1" applyProtection="1">
      <alignment horizontal="center" vertical="center" wrapText="1"/>
      <protection locked="0"/>
    </xf>
    <xf numFmtId="49" fontId="11" fillId="0" borderId="66" xfId="33" applyNumberFormat="1" applyFont="1" applyFill="1" applyBorder="1" applyAlignment="1" applyProtection="1">
      <alignment horizontal="center" vertical="center" wrapText="1"/>
      <protection locked="0"/>
    </xf>
    <xf numFmtId="49" fontId="75" fillId="60" borderId="75" xfId="33" applyNumberFormat="1" applyFont="1" applyFill="1" applyBorder="1" applyAlignment="1" applyProtection="1">
      <alignment horizontal="center" vertical="center" wrapText="1"/>
      <protection locked="0"/>
    </xf>
    <xf numFmtId="0" fontId="37" fillId="0" borderId="78" xfId="0" applyFont="1" applyFill="1" applyBorder="1" applyAlignment="1">
      <alignment horizontal="center" vertical="center" wrapText="1"/>
    </xf>
    <xf numFmtId="3" fontId="77" fillId="60" borderId="7" xfId="33" applyNumberFormat="1" applyFont="1" applyFill="1" applyBorder="1" applyAlignment="1" applyProtection="1">
      <alignment vertical="center"/>
      <protection locked="0"/>
    </xf>
    <xf numFmtId="4" fontId="77" fillId="58" borderId="79" xfId="0" applyNumberFormat="1" applyFont="1" applyFill="1" applyBorder="1" applyAlignment="1">
      <alignment horizontal="center" vertical="center"/>
    </xf>
    <xf numFmtId="4" fontId="77" fillId="58" borderId="55" xfId="0" applyNumberFormat="1" applyFont="1" applyFill="1" applyBorder="1" applyAlignment="1">
      <alignment horizontal="center" vertical="center"/>
    </xf>
    <xf numFmtId="4" fontId="37" fillId="0" borderId="29" xfId="0" applyNumberFormat="1" applyFont="1" applyFill="1" applyBorder="1" applyAlignment="1">
      <alignment horizontal="center" vertical="center"/>
    </xf>
    <xf numFmtId="4" fontId="37" fillId="0" borderId="66" xfId="0" applyNumberFormat="1" applyFont="1" applyFill="1" applyBorder="1" applyAlignment="1">
      <alignment horizontal="center" vertical="center"/>
    </xf>
    <xf numFmtId="4" fontId="77" fillId="58" borderId="77" xfId="0" applyNumberFormat="1" applyFont="1" applyFill="1" applyBorder="1" applyAlignment="1">
      <alignment horizontal="center" vertical="center"/>
    </xf>
    <xf numFmtId="4" fontId="77" fillId="61" borderId="55" xfId="0" applyNumberFormat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 wrapText="1"/>
    </xf>
    <xf numFmtId="1" fontId="77" fillId="0" borderId="0" xfId="0" applyNumberFormat="1" applyFont="1" applyFill="1" applyBorder="1" applyAlignment="1">
      <alignment horizontal="left" vertical="center"/>
    </xf>
    <xf numFmtId="0" fontId="77" fillId="59" borderId="9" xfId="0" applyFont="1" applyFill="1" applyBorder="1" applyAlignment="1">
      <alignment horizontal="left" vertical="center" wrapText="1"/>
    </xf>
    <xf numFmtId="0" fontId="37" fillId="0" borderId="1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77" fillId="60" borderId="9" xfId="0" applyFont="1" applyFill="1" applyBorder="1" applyAlignment="1">
      <alignment horizontal="left" vertical="center" wrapText="1"/>
    </xf>
    <xf numFmtId="0" fontId="77" fillId="58" borderId="9" xfId="0" applyFont="1" applyFill="1" applyBorder="1" applyAlignment="1">
      <alignment horizontal="left" vertical="center" wrapText="1"/>
    </xf>
    <xf numFmtId="0" fontId="77" fillId="60" borderId="80" xfId="0" applyFont="1" applyFill="1" applyBorder="1" applyAlignment="1">
      <alignment horizontal="left" vertical="center" wrapText="1"/>
    </xf>
    <xf numFmtId="0" fontId="73" fillId="0" borderId="2" xfId="34" quotePrefix="1" applyNumberFormat="1" applyFont="1" applyFill="1" applyBorder="1" applyAlignment="1" applyProtection="1">
      <alignment horizontal="left" vertical="center" wrapText="1" justifyLastLine="1"/>
    </xf>
    <xf numFmtId="0" fontId="73" fillId="0" borderId="15" xfId="34" quotePrefix="1" applyNumberFormat="1" applyFont="1" applyFill="1" applyBorder="1" applyAlignment="1" applyProtection="1">
      <alignment horizontal="left" vertical="center" wrapText="1" justifyLastLine="1"/>
    </xf>
    <xf numFmtId="0" fontId="73" fillId="0" borderId="6" xfId="34" quotePrefix="1" applyNumberFormat="1" applyFont="1" applyFill="1" applyBorder="1" applyAlignment="1" applyProtection="1">
      <alignment horizontal="left" vertical="center" wrapText="1" justifyLastLine="1"/>
    </xf>
    <xf numFmtId="0" fontId="77" fillId="58" borderId="78" xfId="0" applyFont="1" applyFill="1" applyBorder="1" applyAlignment="1">
      <alignment horizontal="left" vertical="center" wrapText="1"/>
    </xf>
    <xf numFmtId="0" fontId="73" fillId="0" borderId="61" xfId="34" quotePrefix="1" applyNumberFormat="1" applyFont="1" applyFill="1" applyBorder="1" applyAlignment="1" applyProtection="1">
      <alignment horizontal="left" vertical="center" wrapText="1" justifyLastLine="1"/>
    </xf>
    <xf numFmtId="0" fontId="73" fillId="0" borderId="64" xfId="34" quotePrefix="1" applyNumberFormat="1" applyFont="1" applyFill="1" applyBorder="1" applyAlignment="1" applyProtection="1">
      <alignment horizontal="left" vertical="center" wrapText="1" justifyLastLine="1"/>
    </xf>
    <xf numFmtId="0" fontId="73" fillId="0" borderId="14" xfId="5" applyFont="1" applyFill="1" applyBorder="1" applyAlignment="1">
      <alignment horizontal="left" vertical="center" wrapText="1"/>
    </xf>
    <xf numFmtId="0" fontId="73" fillId="0" borderId="1" xfId="5" applyFont="1" applyFill="1" applyBorder="1" applyAlignment="1">
      <alignment horizontal="left" vertical="center" wrapText="1"/>
    </xf>
    <xf numFmtId="0" fontId="73" fillId="0" borderId="5" xfId="5" applyFont="1" applyFill="1" applyBorder="1" applyAlignment="1">
      <alignment horizontal="left" vertical="center" wrapText="1"/>
    </xf>
    <xf numFmtId="0" fontId="77" fillId="58" borderId="80" xfId="0" applyFont="1" applyFill="1" applyBorder="1" applyAlignment="1">
      <alignment horizontal="left" vertical="center" wrapText="1"/>
    </xf>
    <xf numFmtId="0" fontId="77" fillId="61" borderId="9" xfId="0" applyFont="1" applyFill="1" applyBorder="1" applyAlignment="1">
      <alignment horizontal="left" vertical="center" wrapText="1"/>
    </xf>
    <xf numFmtId="1" fontId="77" fillId="58" borderId="9" xfId="0" applyNumberFormat="1" applyFont="1" applyFill="1" applyBorder="1" applyAlignment="1">
      <alignment horizontal="left" vertical="center" wrapText="1"/>
    </xf>
    <xf numFmtId="0" fontId="19" fillId="0" borderId="5" xfId="39" applyFont="1" applyFill="1" applyBorder="1" applyAlignment="1">
      <alignment horizontal="left" vertical="center" wrapText="1"/>
    </xf>
    <xf numFmtId="0" fontId="37" fillId="0" borderId="31" xfId="0" applyFont="1" applyFill="1" applyBorder="1" applyAlignment="1">
      <alignment horizontal="left" wrapText="1"/>
    </xf>
    <xf numFmtId="0" fontId="77" fillId="0" borderId="81" xfId="0" applyFont="1" applyFill="1" applyBorder="1" applyAlignment="1">
      <alignment horizontal="left" vertical="center" wrapText="1"/>
    </xf>
    <xf numFmtId="0" fontId="77" fillId="0" borderId="1" xfId="0" applyFont="1" applyFill="1" applyBorder="1" applyAlignment="1">
      <alignment horizontal="left" vertical="center" wrapText="1"/>
    </xf>
    <xf numFmtId="0" fontId="77" fillId="0" borderId="24" xfId="0" applyFont="1" applyFill="1" applyBorder="1" applyAlignment="1">
      <alignment horizontal="left" vertical="center" wrapText="1"/>
    </xf>
    <xf numFmtId="4" fontId="37" fillId="0" borderId="0" xfId="0" applyNumberFormat="1" applyFont="1" applyFill="1" applyBorder="1" applyAlignment="1">
      <alignment horizontal="left" vertical="center" wrapText="1"/>
    </xf>
    <xf numFmtId="1" fontId="37" fillId="0" borderId="0" xfId="0" applyNumberFormat="1" applyFont="1" applyFill="1" applyBorder="1" applyAlignment="1">
      <alignment horizontal="left" vertical="center" wrapText="1"/>
    </xf>
    <xf numFmtId="1" fontId="77" fillId="0" borderId="0" xfId="0" applyNumberFormat="1" applyFont="1" applyFill="1" applyBorder="1" applyAlignment="1">
      <alignment horizontal="left" vertical="center" wrapText="1"/>
    </xf>
    <xf numFmtId="1" fontId="77" fillId="59" borderId="9" xfId="0" applyNumberFormat="1" applyFont="1" applyFill="1" applyBorder="1" applyAlignment="1">
      <alignment horizontal="left" vertical="center" wrapText="1"/>
    </xf>
    <xf numFmtId="1" fontId="37" fillId="0" borderId="14" xfId="0" applyNumberFormat="1" applyFont="1" applyFill="1" applyBorder="1" applyAlignment="1">
      <alignment horizontal="left" vertical="center" wrapText="1"/>
    </xf>
    <xf numFmtId="1" fontId="37" fillId="0" borderId="1" xfId="0" applyNumberFormat="1" applyFont="1" applyFill="1" applyBorder="1" applyAlignment="1">
      <alignment horizontal="left" vertical="center" wrapText="1"/>
    </xf>
    <xf numFmtId="1" fontId="37" fillId="0" borderId="5" xfId="0" applyNumberFormat="1" applyFont="1" applyFill="1" applyBorder="1" applyAlignment="1">
      <alignment horizontal="left" vertical="center" wrapText="1"/>
    </xf>
    <xf numFmtId="1" fontId="77" fillId="60" borderId="9" xfId="0" applyNumberFormat="1" applyFont="1" applyFill="1" applyBorder="1" applyAlignment="1">
      <alignment horizontal="left" vertical="center" wrapText="1"/>
    </xf>
    <xf numFmtId="1" fontId="77" fillId="60" borderId="80" xfId="0" applyNumberFormat="1" applyFont="1" applyFill="1" applyBorder="1" applyAlignment="1">
      <alignment horizontal="left" vertical="center" wrapText="1"/>
    </xf>
    <xf numFmtId="1" fontId="77" fillId="58" borderId="78" xfId="0" applyNumberFormat="1" applyFont="1" applyFill="1" applyBorder="1" applyAlignment="1">
      <alignment horizontal="left" vertical="center" wrapText="1"/>
    </xf>
    <xf numFmtId="1" fontId="37" fillId="0" borderId="81" xfId="0" applyNumberFormat="1" applyFont="1" applyFill="1" applyBorder="1" applyAlignment="1">
      <alignment horizontal="left" vertical="center" wrapText="1"/>
    </xf>
    <xf numFmtId="1" fontId="37" fillId="0" borderId="24" xfId="0" applyNumberFormat="1" applyFont="1" applyFill="1" applyBorder="1" applyAlignment="1">
      <alignment horizontal="left" vertical="center" wrapText="1"/>
    </xf>
    <xf numFmtId="1" fontId="77" fillId="58" borderId="80" xfId="0" applyNumberFormat="1" applyFont="1" applyFill="1" applyBorder="1" applyAlignment="1">
      <alignment horizontal="left" vertical="center" wrapText="1"/>
    </xf>
    <xf numFmtId="1" fontId="77" fillId="61" borderId="9" xfId="0" applyNumberFormat="1" applyFont="1" applyFill="1" applyBorder="1" applyAlignment="1">
      <alignment horizontal="left" vertical="center" wrapText="1"/>
    </xf>
    <xf numFmtId="0" fontId="77" fillId="58" borderId="78" xfId="5" applyFont="1" applyFill="1" applyBorder="1" applyAlignment="1" applyProtection="1">
      <alignment horizontal="left" vertical="center" wrapText="1"/>
    </xf>
    <xf numFmtId="1" fontId="77" fillId="0" borderId="81" xfId="0" applyNumberFormat="1" applyFont="1" applyFill="1" applyBorder="1" applyAlignment="1">
      <alignment horizontal="left" vertical="center" wrapText="1"/>
    </xf>
    <xf numFmtId="1" fontId="77" fillId="0" borderId="1" xfId="0" applyNumberFormat="1" applyFont="1" applyFill="1" applyBorder="1" applyAlignment="1">
      <alignment horizontal="left" vertical="center" wrapText="1"/>
    </xf>
    <xf numFmtId="1" fontId="77" fillId="0" borderId="24" xfId="0" applyNumberFormat="1" applyFont="1" applyFill="1" applyBorder="1" applyAlignment="1">
      <alignment horizontal="left" vertical="center" wrapText="1"/>
    </xf>
    <xf numFmtId="1" fontId="77" fillId="0" borderId="7" xfId="0" applyNumberFormat="1" applyFont="1" applyFill="1" applyBorder="1" applyAlignment="1">
      <alignment horizontal="center" vertical="center"/>
    </xf>
    <xf numFmtId="0" fontId="77" fillId="0" borderId="9" xfId="0" applyFont="1" applyFill="1" applyBorder="1" applyAlignment="1">
      <alignment horizontal="center" vertical="center" wrapText="1"/>
    </xf>
    <xf numFmtId="1" fontId="77" fillId="0" borderId="9" xfId="0" applyNumberFormat="1" applyFont="1" applyFill="1" applyBorder="1" applyAlignment="1">
      <alignment horizontal="left" vertical="center" wrapText="1"/>
    </xf>
    <xf numFmtId="0" fontId="77" fillId="0" borderId="9" xfId="0" applyFont="1" applyFill="1" applyBorder="1" applyAlignment="1">
      <alignment horizontal="left" vertical="center" wrapText="1"/>
    </xf>
    <xf numFmtId="4" fontId="77" fillId="0" borderId="10" xfId="0" applyNumberFormat="1" applyFont="1" applyFill="1" applyBorder="1" applyAlignment="1">
      <alignment horizontal="center" vertical="center"/>
    </xf>
    <xf numFmtId="4" fontId="77" fillId="0" borderId="61" xfId="0" applyNumberFormat="1" applyFont="1" applyFill="1" applyBorder="1" applyAlignment="1">
      <alignment horizontal="center" vertical="center"/>
    </xf>
    <xf numFmtId="4" fontId="77" fillId="0" borderId="2" xfId="0" applyNumberFormat="1" applyFont="1" applyFill="1" applyBorder="1" applyAlignment="1">
      <alignment horizontal="center" vertical="center"/>
    </xf>
    <xf numFmtId="4" fontId="77" fillId="0" borderId="64" xfId="0" applyNumberFormat="1" applyFont="1" applyFill="1" applyBorder="1" applyAlignment="1">
      <alignment horizontal="center" vertical="center"/>
    </xf>
    <xf numFmtId="3" fontId="77" fillId="0" borderId="21" xfId="0" applyNumberFormat="1" applyFont="1" applyFill="1" applyBorder="1" applyAlignment="1">
      <alignment vertical="center"/>
    </xf>
    <xf numFmtId="3" fontId="77" fillId="0" borderId="28" xfId="0" applyNumberFormat="1" applyFont="1" applyFill="1" applyBorder="1" applyAlignment="1">
      <alignment vertical="center"/>
    </xf>
    <xf numFmtId="3" fontId="77" fillId="0" borderId="23" xfId="0" applyNumberFormat="1" applyFont="1" applyFill="1" applyBorder="1" applyAlignment="1">
      <alignment vertical="center"/>
    </xf>
    <xf numFmtId="3" fontId="16" fillId="2" borderId="87" xfId="20" applyNumberFormat="1" applyFont="1" applyFill="1" applyBorder="1" applyAlignment="1">
      <alignment vertical="center"/>
    </xf>
    <xf numFmtId="4" fontId="77" fillId="0" borderId="77" xfId="0" applyNumberFormat="1" applyFont="1" applyFill="1" applyBorder="1" applyAlignment="1">
      <alignment horizontal="center" vertical="center"/>
    </xf>
    <xf numFmtId="1" fontId="37" fillId="0" borderId="62" xfId="0" applyNumberFormat="1" applyFont="1" applyFill="1" applyBorder="1" applyAlignment="1">
      <alignment horizontal="center" vertical="center"/>
    </xf>
    <xf numFmtId="0" fontId="37" fillId="0" borderId="78" xfId="5" applyFont="1" applyFill="1" applyBorder="1" applyAlignment="1" applyProtection="1">
      <alignment horizontal="left" vertical="center" wrapText="1"/>
    </xf>
    <xf numFmtId="0" fontId="37" fillId="0" borderId="78" xfId="0" applyFont="1" applyFill="1" applyBorder="1" applyAlignment="1">
      <alignment horizontal="left" vertical="center" wrapText="1"/>
    </xf>
    <xf numFmtId="3" fontId="65" fillId="2" borderId="21" xfId="0" applyNumberFormat="1" applyFont="1" applyFill="1" applyBorder="1"/>
    <xf numFmtId="3" fontId="65" fillId="2" borderId="28" xfId="0" applyNumberFormat="1" applyFont="1" applyFill="1" applyBorder="1"/>
    <xf numFmtId="3" fontId="65" fillId="2" borderId="16" xfId="0" applyNumberFormat="1" applyFont="1" applyFill="1" applyBorder="1"/>
    <xf numFmtId="1" fontId="66" fillId="12" borderId="44" xfId="5" applyNumberFormat="1" applyFont="1" applyFill="1" applyBorder="1" applyAlignment="1" applyProtection="1">
      <alignment horizontal="left" vertical="center" wrapText="1"/>
    </xf>
    <xf numFmtId="0" fontId="63" fillId="2" borderId="2" xfId="38" applyFont="1" applyFill="1" applyBorder="1" applyAlignment="1" applyProtection="1">
      <alignment horizontal="left" vertical="center" wrapText="1"/>
    </xf>
    <xf numFmtId="0" fontId="68" fillId="20" borderId="2" xfId="38" applyFont="1" applyFill="1" applyBorder="1" applyAlignment="1" applyProtection="1">
      <alignment horizontal="left" vertical="center" wrapText="1"/>
    </xf>
    <xf numFmtId="0" fontId="63" fillId="2" borderId="46" xfId="38" applyFont="1" applyFill="1" applyBorder="1" applyAlignment="1" applyProtection="1">
      <alignment horizontal="left" vertical="center" wrapText="1"/>
    </xf>
    <xf numFmtId="0" fontId="68" fillId="20" borderId="10" xfId="38" applyFont="1" applyFill="1" applyBorder="1" applyAlignment="1" applyProtection="1">
      <alignment horizontal="left" vertical="center" wrapText="1"/>
    </xf>
    <xf numFmtId="0" fontId="63" fillId="2" borderId="15" xfId="38" applyFont="1" applyFill="1" applyBorder="1" applyAlignment="1" applyProtection="1">
      <alignment horizontal="left" vertical="center" wrapText="1"/>
    </xf>
    <xf numFmtId="0" fontId="71" fillId="20" borderId="2" xfId="38" applyFont="1" applyFill="1" applyBorder="1" applyAlignment="1" applyProtection="1">
      <alignment horizontal="left" vertical="center" wrapText="1"/>
    </xf>
    <xf numFmtId="0" fontId="67" fillId="2" borderId="2" xfId="39" applyFont="1" applyFill="1" applyBorder="1" applyAlignment="1" applyProtection="1">
      <alignment horizontal="left" wrapText="1"/>
    </xf>
    <xf numFmtId="0" fontId="67" fillId="2" borderId="2" xfId="39" applyFont="1" applyFill="1" applyBorder="1" applyAlignment="1">
      <alignment horizontal="left" wrapText="1"/>
    </xf>
    <xf numFmtId="0" fontId="63" fillId="2" borderId="2" xfId="111" applyFont="1" applyFill="1" applyBorder="1" applyAlignment="1">
      <alignment horizontal="left" vertical="center" wrapText="1"/>
    </xf>
    <xf numFmtId="0" fontId="63" fillId="2" borderId="2" xfId="40" applyFont="1" applyFill="1" applyBorder="1" applyAlignment="1" applyProtection="1">
      <alignment horizontal="left" vertical="center" wrapText="1"/>
    </xf>
    <xf numFmtId="3" fontId="67" fillId="2" borderId="3" xfId="5" applyNumberFormat="1" applyFont="1" applyFill="1" applyBorder="1" applyAlignment="1" applyProtection="1">
      <alignment vertical="center"/>
      <protection locked="0"/>
    </xf>
    <xf numFmtId="3" fontId="64" fillId="20" borderId="3" xfId="5" applyNumberFormat="1" applyFont="1" applyFill="1" applyBorder="1" applyAlignment="1" applyProtection="1">
      <alignment vertical="center"/>
    </xf>
    <xf numFmtId="164" fontId="67" fillId="2" borderId="3" xfId="5" applyNumberFormat="1" applyFont="1" applyFill="1" applyBorder="1" applyAlignment="1" applyProtection="1">
      <alignment vertical="center"/>
      <protection locked="0"/>
    </xf>
    <xf numFmtId="3" fontId="67" fillId="20" borderId="86" xfId="5" applyNumberFormat="1" applyFont="1" applyFill="1" applyBorder="1" applyAlignment="1" applyProtection="1">
      <alignment vertical="center"/>
    </xf>
    <xf numFmtId="3" fontId="64" fillId="20" borderId="8" xfId="5" applyNumberFormat="1" applyFont="1" applyFill="1" applyBorder="1" applyAlignment="1" applyProtection="1">
      <alignment vertical="center"/>
    </xf>
    <xf numFmtId="3" fontId="67" fillId="2" borderId="13" xfId="5" applyNumberFormat="1" applyFont="1" applyFill="1" applyBorder="1" applyAlignment="1" applyProtection="1">
      <alignment vertical="center"/>
    </xf>
    <xf numFmtId="3" fontId="67" fillId="2" borderId="3" xfId="5" applyNumberFormat="1" applyFont="1" applyFill="1" applyBorder="1" applyAlignment="1" applyProtection="1">
      <alignment vertical="center"/>
    </xf>
    <xf numFmtId="3" fontId="63" fillId="0" borderId="3" xfId="0" applyNumberFormat="1" applyFont="1" applyFill="1" applyBorder="1" applyAlignment="1">
      <alignment vertical="center"/>
    </xf>
    <xf numFmtId="3" fontId="70" fillId="20" borderId="3" xfId="5" applyNumberFormat="1" applyFont="1" applyFill="1" applyBorder="1" applyAlignment="1" applyProtection="1">
      <alignment vertical="center"/>
    </xf>
    <xf numFmtId="3" fontId="66" fillId="12" borderId="89" xfId="5" applyNumberFormat="1" applyFont="1" applyFill="1" applyBorder="1" applyAlignment="1" applyProtection="1">
      <alignment vertical="center"/>
    </xf>
    <xf numFmtId="3" fontId="66" fillId="12" borderId="92" xfId="5" applyNumberFormat="1" applyFont="1" applyFill="1" applyBorder="1" applyAlignment="1" applyProtection="1">
      <alignment horizontal="right"/>
    </xf>
    <xf numFmtId="3" fontId="66" fillId="12" borderId="93" xfId="5" applyNumberFormat="1" applyFont="1" applyFill="1" applyBorder="1" applyAlignment="1" applyProtection="1">
      <alignment horizontal="right"/>
    </xf>
    <xf numFmtId="3" fontId="66" fillId="12" borderId="11" xfId="5" applyNumberFormat="1" applyFont="1" applyFill="1" applyBorder="1" applyAlignment="1" applyProtection="1">
      <alignment horizontal="right"/>
    </xf>
    <xf numFmtId="3" fontId="66" fillId="12" borderId="94" xfId="5" applyNumberFormat="1" applyFont="1" applyFill="1" applyBorder="1" applyAlignment="1" applyProtection="1">
      <alignment horizontal="right"/>
    </xf>
    <xf numFmtId="3" fontId="66" fillId="12" borderId="95" xfId="5" applyNumberFormat="1" applyFont="1" applyFill="1" applyBorder="1" applyAlignment="1" applyProtection="1">
      <alignment vertical="center"/>
    </xf>
    <xf numFmtId="3" fontId="29" fillId="15" borderId="1" xfId="5" quotePrefix="1" applyNumberFormat="1" applyFont="1" applyFill="1" applyBorder="1" applyAlignment="1" applyProtection="1">
      <alignment vertical="center"/>
    </xf>
    <xf numFmtId="1" fontId="40" fillId="0" borderId="47" xfId="5" applyNumberFormat="1" applyFont="1" applyFill="1" applyBorder="1" applyAlignment="1" applyProtection="1">
      <alignment horizontal="center" vertical="center" wrapText="1"/>
    </xf>
    <xf numFmtId="3" fontId="27" fillId="2" borderId="0" xfId="0" applyNumberFormat="1" applyFont="1" applyFill="1" applyBorder="1" applyAlignment="1" applyProtection="1">
      <alignment horizontal="center"/>
    </xf>
    <xf numFmtId="3" fontId="43" fillId="21" borderId="1" xfId="5" applyNumberFormat="1" applyFont="1" applyFill="1" applyBorder="1" applyAlignment="1" applyProtection="1">
      <alignment horizontal="center" vertical="center" wrapText="1"/>
    </xf>
    <xf numFmtId="1" fontId="66" fillId="64" borderId="47" xfId="5" applyNumberFormat="1" applyFont="1" applyFill="1" applyBorder="1" applyAlignment="1" applyProtection="1">
      <alignment horizontal="center" vertical="center" wrapText="1"/>
    </xf>
    <xf numFmtId="3" fontId="65" fillId="2" borderId="0" xfId="0" applyNumberFormat="1" applyFont="1" applyFill="1" applyAlignment="1">
      <alignment horizontal="center" vertical="center"/>
    </xf>
    <xf numFmtId="3" fontId="65" fillId="2" borderId="22" xfId="0" applyNumberFormat="1" applyFont="1" applyFill="1" applyBorder="1" applyAlignment="1">
      <alignment horizontal="center" vertical="center"/>
    </xf>
    <xf numFmtId="3" fontId="64" fillId="20" borderId="28" xfId="5" applyNumberFormat="1" applyFont="1" applyFill="1" applyBorder="1" applyAlignment="1" applyProtection="1">
      <alignment vertical="center"/>
    </xf>
    <xf numFmtId="3" fontId="65" fillId="2" borderId="29" xfId="0" applyNumberFormat="1" applyFont="1" applyFill="1" applyBorder="1" applyAlignment="1">
      <alignment horizontal="center" vertical="center"/>
    </xf>
    <xf numFmtId="3" fontId="70" fillId="20" borderId="28" xfId="5" applyNumberFormat="1" applyFont="1" applyFill="1" applyBorder="1" applyAlignment="1" applyProtection="1">
      <alignment vertical="center"/>
    </xf>
    <xf numFmtId="3" fontId="66" fillId="25" borderId="23" xfId="5" applyNumberFormat="1" applyFont="1" applyFill="1" applyBorder="1" applyAlignment="1" applyProtection="1">
      <alignment vertical="center"/>
    </xf>
    <xf numFmtId="3" fontId="67" fillId="20" borderId="33" xfId="5" applyNumberFormat="1" applyFont="1" applyFill="1" applyBorder="1" applyAlignment="1" applyProtection="1">
      <alignment vertical="center"/>
    </xf>
    <xf numFmtId="3" fontId="65" fillId="2" borderId="17" xfId="0" applyNumberFormat="1" applyFont="1" applyFill="1" applyBorder="1" applyAlignment="1">
      <alignment horizontal="center" vertical="center"/>
    </xf>
    <xf numFmtId="3" fontId="64" fillId="20" borderId="7" xfId="5" applyNumberFormat="1" applyFont="1" applyFill="1" applyBorder="1" applyAlignment="1" applyProtection="1">
      <alignment vertical="center"/>
    </xf>
    <xf numFmtId="3" fontId="65" fillId="24" borderId="29" xfId="0" applyNumberFormat="1" applyFont="1" applyFill="1" applyBorder="1" applyAlignment="1">
      <alignment horizontal="center" vertical="center"/>
    </xf>
    <xf numFmtId="3" fontId="65" fillId="24" borderId="66" xfId="0" applyNumberFormat="1" applyFont="1" applyFill="1" applyBorder="1" applyAlignment="1">
      <alignment horizontal="center" vertical="center"/>
    </xf>
    <xf numFmtId="3" fontId="69" fillId="24" borderId="29" xfId="0" applyNumberFormat="1" applyFont="1" applyFill="1" applyBorder="1" applyAlignment="1">
      <alignment horizontal="center" vertical="center"/>
    </xf>
    <xf numFmtId="3" fontId="79" fillId="25" borderId="25" xfId="0" applyNumberFormat="1" applyFont="1" applyFill="1" applyBorder="1" applyAlignment="1">
      <alignment horizontal="center" vertical="center"/>
    </xf>
    <xf numFmtId="3" fontId="69" fillId="24" borderId="55" xfId="0" applyNumberFormat="1" applyFont="1" applyFill="1" applyBorder="1" applyAlignment="1">
      <alignment horizontal="center" vertical="center"/>
    </xf>
    <xf numFmtId="0" fontId="37" fillId="0" borderId="34" xfId="0" applyFont="1" applyFill="1" applyBorder="1" applyAlignment="1">
      <alignment horizontal="center" vertical="center" wrapText="1"/>
    </xf>
    <xf numFmtId="1" fontId="37" fillId="0" borderId="34" xfId="0" applyNumberFormat="1" applyFont="1" applyFill="1" applyBorder="1" applyAlignment="1">
      <alignment horizontal="left" vertical="center" wrapText="1"/>
    </xf>
    <xf numFmtId="0" fontId="37" fillId="60" borderId="9" xfId="0" applyFont="1" applyFill="1" applyBorder="1" applyAlignment="1">
      <alignment horizontal="center" vertical="center" wrapText="1"/>
    </xf>
    <xf numFmtId="1" fontId="37" fillId="60" borderId="9" xfId="0" applyNumberFormat="1" applyFont="1" applyFill="1" applyBorder="1" applyAlignment="1">
      <alignment horizontal="left" vertical="center" wrapText="1"/>
    </xf>
    <xf numFmtId="4" fontId="77" fillId="59" borderId="10" xfId="0" applyNumberFormat="1" applyFont="1" applyFill="1" applyBorder="1" applyAlignment="1">
      <alignment horizontal="center" vertical="center" wrapText="1"/>
    </xf>
    <xf numFmtId="3" fontId="77" fillId="59" borderId="7" xfId="0" applyNumberFormat="1" applyFont="1" applyFill="1" applyBorder="1" applyAlignment="1">
      <alignment horizontal="center" vertical="center"/>
    </xf>
    <xf numFmtId="0" fontId="36" fillId="16" borderId="96" xfId="20" applyFont="1" applyFill="1" applyBorder="1" applyAlignment="1" applyProtection="1">
      <alignment horizontal="center" vertical="center" wrapText="1"/>
    </xf>
    <xf numFmtId="0" fontId="36" fillId="16" borderId="97" xfId="20" applyFont="1" applyFill="1" applyBorder="1" applyAlignment="1" applyProtection="1">
      <alignment horizontal="center" vertical="center" wrapText="1"/>
    </xf>
    <xf numFmtId="0" fontId="36" fillId="16" borderId="98" xfId="20" applyFont="1" applyFill="1" applyBorder="1" applyAlignment="1" applyProtection="1">
      <alignment horizontal="center" vertical="center" wrapText="1"/>
    </xf>
    <xf numFmtId="0" fontId="28" fillId="2" borderId="99" xfId="20" applyFont="1" applyBorder="1" applyAlignment="1" applyProtection="1">
      <alignment horizontal="left" vertical="center" wrapText="1"/>
    </xf>
    <xf numFmtId="3" fontId="35" fillId="17" borderId="100" xfId="20" applyNumberFormat="1" applyFont="1" applyFill="1" applyBorder="1" applyAlignment="1" applyProtection="1">
      <alignment horizontal="right" vertical="center" wrapText="1"/>
    </xf>
    <xf numFmtId="0" fontId="28" fillId="2" borderId="99" xfId="20" applyFont="1" applyBorder="1" applyAlignment="1" applyProtection="1">
      <alignment horizontal="center" vertical="center" wrapText="1"/>
    </xf>
    <xf numFmtId="3" fontId="35" fillId="2" borderId="100" xfId="20" applyNumberFormat="1" applyFont="1" applyFill="1" applyBorder="1" applyAlignment="1" applyProtection="1">
      <alignment horizontal="right" vertical="center"/>
    </xf>
    <xf numFmtId="0" fontId="28" fillId="2" borderId="99" xfId="20" applyFont="1" applyBorder="1" applyAlignment="1" applyProtection="1">
      <alignment horizontal="center" vertical="center"/>
    </xf>
    <xf numFmtId="3" fontId="35" fillId="17" borderId="100" xfId="20" applyNumberFormat="1" applyFont="1" applyFill="1" applyBorder="1" applyAlignment="1" applyProtection="1">
      <alignment horizontal="right" vertical="center"/>
    </xf>
    <xf numFmtId="3" fontId="28" fillId="2" borderId="100" xfId="20" applyNumberFormat="1" applyFont="1" applyFill="1" applyBorder="1" applyAlignment="1" applyProtection="1">
      <alignment horizontal="right" vertical="center" wrapText="1"/>
    </xf>
    <xf numFmtId="0" fontId="28" fillId="2" borderId="101" xfId="20" applyFont="1" applyBorder="1" applyAlignment="1" applyProtection="1">
      <alignment horizontal="left" vertical="center" wrapText="1"/>
    </xf>
    <xf numFmtId="0" fontId="28" fillId="2" borderId="102" xfId="20" applyFont="1" applyBorder="1" applyAlignment="1" applyProtection="1">
      <alignment horizontal="left" vertical="center" wrapText="1"/>
    </xf>
    <xf numFmtId="3" fontId="35" fillId="17" borderId="102" xfId="20" applyNumberFormat="1" applyFont="1" applyFill="1" applyBorder="1" applyAlignment="1" applyProtection="1">
      <alignment horizontal="right" vertical="center" wrapText="1"/>
    </xf>
    <xf numFmtId="3" fontId="35" fillId="17" borderId="103" xfId="20" applyNumberFormat="1" applyFont="1" applyFill="1" applyBorder="1" applyAlignment="1" applyProtection="1">
      <alignment horizontal="right" vertical="center" wrapText="1"/>
    </xf>
    <xf numFmtId="0" fontId="35" fillId="2" borderId="99" xfId="20" applyFont="1" applyBorder="1" applyAlignment="1" applyProtection="1">
      <alignment horizontal="left" vertical="center" wrapText="1"/>
    </xf>
    <xf numFmtId="3" fontId="35" fillId="2" borderId="100" xfId="20" applyNumberFormat="1" applyFont="1" applyFill="1" applyBorder="1" applyAlignment="1" applyProtection="1">
      <alignment horizontal="right" vertical="center" wrapText="1"/>
    </xf>
    <xf numFmtId="0" fontId="35" fillId="2" borderId="101" xfId="20" applyFont="1" applyBorder="1" applyAlignment="1" applyProtection="1">
      <alignment horizontal="left" vertical="center" wrapText="1"/>
    </xf>
    <xf numFmtId="0" fontId="35" fillId="2" borderId="102" xfId="20" applyFont="1" applyBorder="1" applyAlignment="1" applyProtection="1">
      <alignment horizontal="left" vertical="center" wrapText="1"/>
    </xf>
    <xf numFmtId="3" fontId="35" fillId="18" borderId="102" xfId="20" applyNumberFormat="1" applyFont="1" applyFill="1" applyBorder="1" applyAlignment="1" applyProtection="1">
      <alignment horizontal="right" vertical="center"/>
    </xf>
    <xf numFmtId="3" fontId="35" fillId="18" borderId="103" xfId="20" applyNumberFormat="1" applyFont="1" applyFill="1" applyBorder="1" applyAlignment="1" applyProtection="1">
      <alignment horizontal="right" vertical="center" wrapText="1"/>
    </xf>
    <xf numFmtId="3" fontId="35" fillId="17" borderId="102" xfId="20" applyNumberFormat="1" applyFont="1" applyFill="1" applyBorder="1" applyAlignment="1" applyProtection="1">
      <alignment horizontal="right" vertical="center"/>
    </xf>
    <xf numFmtId="3" fontId="35" fillId="17" borderId="103" xfId="20" applyNumberFormat="1" applyFont="1" applyFill="1" applyBorder="1" applyAlignment="1" applyProtection="1">
      <alignment horizontal="right" vertical="center"/>
    </xf>
    <xf numFmtId="0" fontId="36" fillId="16" borderId="104" xfId="20" applyFont="1" applyFill="1" applyBorder="1" applyAlignment="1" applyProtection="1">
      <alignment horizontal="left" vertical="center" wrapText="1"/>
    </xf>
    <xf numFmtId="0" fontId="36" fillId="16" borderId="105" xfId="20" applyFont="1" applyFill="1" applyBorder="1" applyAlignment="1" applyProtection="1">
      <alignment horizontal="left" vertical="center" wrapText="1"/>
    </xf>
    <xf numFmtId="3" fontId="36" fillId="16" borderId="105" xfId="20" applyNumberFormat="1" applyFont="1" applyFill="1" applyBorder="1" applyAlignment="1" applyProtection="1">
      <alignment horizontal="right" vertical="center"/>
    </xf>
    <xf numFmtId="3" fontId="36" fillId="16" borderId="106" xfId="20" applyNumberFormat="1" applyFont="1" applyFill="1" applyBorder="1" applyAlignment="1" applyProtection="1">
      <alignment horizontal="right" vertical="center"/>
    </xf>
    <xf numFmtId="4" fontId="77" fillId="60" borderId="10" xfId="0" applyNumberFormat="1" applyFont="1" applyFill="1" applyBorder="1" applyAlignment="1">
      <alignment horizontal="center" vertical="center" wrapText="1"/>
    </xf>
    <xf numFmtId="0" fontId="37" fillId="64" borderId="0" xfId="0" applyFont="1" applyFill="1" applyBorder="1" applyAlignment="1">
      <alignment horizontal="left" vertical="center" wrapText="1"/>
    </xf>
    <xf numFmtId="1" fontId="65" fillId="2" borderId="1" xfId="0" applyNumberFormat="1" applyFont="1" applyFill="1" applyBorder="1" applyAlignment="1">
      <alignment horizontal="right" vertical="center"/>
    </xf>
    <xf numFmtId="3" fontId="79" fillId="25" borderId="39" xfId="5" applyNumberFormat="1" applyFont="1" applyFill="1" applyBorder="1" applyAlignment="1" applyProtection="1">
      <alignment horizontal="center" vertical="center" wrapText="1"/>
    </xf>
    <xf numFmtId="0" fontId="79" fillId="12" borderId="91" xfId="5" applyNumberFormat="1" applyFont="1" applyFill="1" applyBorder="1" applyAlignment="1" applyProtection="1">
      <alignment horizontal="center" vertical="center" wrapText="1"/>
    </xf>
    <xf numFmtId="0" fontId="79" fillId="12" borderId="88" xfId="5" applyNumberFormat="1" applyFont="1" applyFill="1" applyBorder="1" applyAlignment="1" applyProtection="1">
      <alignment horizontal="center" vertical="center" wrapText="1"/>
    </xf>
    <xf numFmtId="0" fontId="79" fillId="12" borderId="35" xfId="5" applyNumberFormat="1" applyFont="1" applyFill="1" applyBorder="1" applyAlignment="1" applyProtection="1">
      <alignment horizontal="center" vertical="center" wrapText="1"/>
    </xf>
    <xf numFmtId="0" fontId="79" fillId="12" borderId="35" xfId="5" applyFont="1" applyFill="1" applyBorder="1" applyAlignment="1" applyProtection="1">
      <alignment horizontal="center" vertical="center" wrapText="1"/>
    </xf>
    <xf numFmtId="0" fontId="79" fillId="12" borderId="44" xfId="5" applyFont="1" applyFill="1" applyBorder="1" applyAlignment="1" applyProtection="1">
      <alignment horizontal="center" vertical="center" wrapText="1"/>
    </xf>
    <xf numFmtId="3" fontId="79" fillId="12" borderId="47" xfId="5" applyNumberFormat="1" applyFont="1" applyFill="1" applyBorder="1" applyAlignment="1" applyProtection="1">
      <alignment horizontal="center" vertical="center" wrapText="1"/>
    </xf>
    <xf numFmtId="1" fontId="80" fillId="0" borderId="0" xfId="0" applyNumberFormat="1" applyFont="1" applyFill="1" applyBorder="1" applyAlignment="1">
      <alignment vertical="center"/>
    </xf>
    <xf numFmtId="4" fontId="74" fillId="0" borderId="0" xfId="0" applyNumberFormat="1" applyFont="1" applyFill="1" applyBorder="1" applyAlignment="1">
      <alignment horizontal="right" vertical="center"/>
    </xf>
    <xf numFmtId="3" fontId="45" fillId="0" borderId="1" xfId="7" applyNumberFormat="1" applyFont="1" applyFill="1" applyBorder="1" applyAlignment="1">
      <alignment vertical="center"/>
    </xf>
    <xf numFmtId="3" fontId="16" fillId="2" borderId="1" xfId="20" applyNumberFormat="1" applyFont="1" applyFill="1" applyBorder="1" applyAlignment="1">
      <alignment vertical="center"/>
    </xf>
    <xf numFmtId="3" fontId="45" fillId="2" borderId="0" xfId="20" applyNumberFormat="1" applyFont="1" applyFill="1" applyAlignment="1">
      <alignment vertical="center"/>
    </xf>
    <xf numFmtId="3" fontId="16" fillId="2" borderId="0" xfId="20" applyNumberFormat="1" applyFont="1" applyFill="1" applyAlignment="1">
      <alignment vertical="center"/>
    </xf>
    <xf numFmtId="3" fontId="39" fillId="2" borderId="0" xfId="20" applyNumberFormat="1" applyFont="1" applyFill="1" applyAlignment="1">
      <alignment vertical="center"/>
    </xf>
    <xf numFmtId="3" fontId="41" fillId="2" borderId="0" xfId="20" applyNumberFormat="1" applyFont="1" applyFill="1" applyAlignment="1">
      <alignment vertical="center"/>
    </xf>
    <xf numFmtId="0" fontId="8" fillId="2" borderId="0" xfId="0" applyFont="1" applyFill="1"/>
    <xf numFmtId="2" fontId="8" fillId="2" borderId="0" xfId="0" applyNumberFormat="1" applyFont="1" applyFill="1" applyAlignment="1">
      <alignment horizontal="center" vertical="center"/>
    </xf>
    <xf numFmtId="0" fontId="19" fillId="2" borderId="110" xfId="6" applyNumberFormat="1" applyFont="1" applyFill="1" applyBorder="1" applyAlignment="1" applyProtection="1">
      <alignment horizontal="right" vertical="center" wrapText="1"/>
    </xf>
    <xf numFmtId="0" fontId="37" fillId="2" borderId="12" xfId="6" quotePrefix="1" applyFont="1" applyFill="1" applyBorder="1" applyAlignment="1">
      <alignment horizontal="left" vertical="center" wrapText="1"/>
    </xf>
    <xf numFmtId="3" fontId="73" fillId="2" borderId="13" xfId="20" applyNumberFormat="1" applyFont="1" applyFill="1" applyBorder="1" applyAlignment="1">
      <alignment vertical="center"/>
    </xf>
    <xf numFmtId="3" fontId="73" fillId="2" borderId="15" xfId="20" applyNumberFormat="1" applyFont="1" applyFill="1" applyBorder="1" applyAlignment="1">
      <alignment vertical="center"/>
    </xf>
    <xf numFmtId="3" fontId="73" fillId="2" borderId="12" xfId="20" applyNumberFormat="1" applyFont="1" applyFill="1" applyBorder="1" applyAlignment="1">
      <alignment vertical="center"/>
    </xf>
    <xf numFmtId="3" fontId="73" fillId="2" borderId="16" xfId="20" applyNumberFormat="1" applyFont="1" applyFill="1" applyBorder="1" applyAlignment="1">
      <alignment vertical="center"/>
    </xf>
    <xf numFmtId="3" fontId="73" fillId="2" borderId="17" xfId="20" applyNumberFormat="1" applyFont="1" applyFill="1" applyBorder="1" applyAlignment="1">
      <alignment vertical="center"/>
    </xf>
    <xf numFmtId="3" fontId="18" fillId="2" borderId="16" xfId="20" applyNumberFormat="1" applyFont="1" applyFill="1" applyBorder="1" applyAlignment="1">
      <alignment vertical="center"/>
    </xf>
    <xf numFmtId="3" fontId="18" fillId="2" borderId="15" xfId="20" applyNumberFormat="1" applyFont="1" applyFill="1" applyBorder="1" applyAlignment="1">
      <alignment vertical="center"/>
    </xf>
    <xf numFmtId="3" fontId="18" fillId="2" borderId="12" xfId="20" applyNumberFormat="1" applyFont="1" applyFill="1" applyBorder="1" applyAlignment="1">
      <alignment vertical="center"/>
    </xf>
    <xf numFmtId="3" fontId="16" fillId="2" borderId="13" xfId="20" applyNumberFormat="1" applyFont="1" applyFill="1" applyBorder="1" applyAlignment="1">
      <alignment vertical="center"/>
    </xf>
    <xf numFmtId="2" fontId="50" fillId="2" borderId="21" xfId="0" applyNumberFormat="1" applyFont="1" applyFill="1" applyBorder="1" applyAlignment="1">
      <alignment horizontal="center" vertical="center"/>
    </xf>
    <xf numFmtId="2" fontId="50" fillId="2" borderId="22" xfId="0" applyNumberFormat="1" applyFont="1" applyFill="1" applyBorder="1" applyAlignment="1">
      <alignment horizontal="center" vertical="center"/>
    </xf>
    <xf numFmtId="0" fontId="37" fillId="2" borderId="18" xfId="6" applyNumberFormat="1" applyFont="1" applyFill="1" applyBorder="1" applyAlignment="1" applyProtection="1">
      <alignment horizontal="left" vertical="center" wrapText="1"/>
    </xf>
    <xf numFmtId="3" fontId="73" fillId="2" borderId="3" xfId="20" applyNumberFormat="1" applyFont="1" applyFill="1" applyBorder="1" applyAlignment="1">
      <alignment vertical="center"/>
    </xf>
    <xf numFmtId="3" fontId="73" fillId="2" borderId="2" xfId="20" applyNumberFormat="1" applyFont="1" applyFill="1" applyBorder="1" applyAlignment="1">
      <alignment vertical="center"/>
    </xf>
    <xf numFmtId="3" fontId="73" fillId="2" borderId="28" xfId="20" applyNumberFormat="1" applyFont="1" applyFill="1" applyBorder="1" applyAlignment="1">
      <alignment vertical="center"/>
    </xf>
    <xf numFmtId="3" fontId="73" fillId="2" borderId="29" xfId="20" applyNumberFormat="1" applyFont="1" applyFill="1" applyBorder="1" applyAlignment="1">
      <alignment vertical="center"/>
    </xf>
    <xf numFmtId="3" fontId="18" fillId="2" borderId="28" xfId="20" applyNumberFormat="1" applyFont="1" applyFill="1" applyBorder="1" applyAlignment="1">
      <alignment vertical="center"/>
    </xf>
    <xf numFmtId="3" fontId="18" fillId="2" borderId="2" xfId="20" applyNumberFormat="1" applyFont="1" applyFill="1" applyBorder="1" applyAlignment="1">
      <alignment vertical="center"/>
    </xf>
    <xf numFmtId="3" fontId="18" fillId="2" borderId="18" xfId="20" applyNumberFormat="1" applyFont="1" applyFill="1" applyBorder="1" applyAlignment="1">
      <alignment vertical="center"/>
    </xf>
    <xf numFmtId="3" fontId="16" fillId="2" borderId="3" xfId="20" applyNumberFormat="1" applyFont="1" applyFill="1" applyBorder="1" applyAlignment="1">
      <alignment vertical="center"/>
    </xf>
    <xf numFmtId="2" fontId="50" fillId="2" borderId="16" xfId="0" applyNumberFormat="1" applyFont="1" applyFill="1" applyBorder="1" applyAlignment="1">
      <alignment horizontal="center" vertical="center"/>
    </xf>
    <xf numFmtId="2" fontId="50" fillId="2" borderId="17" xfId="0" applyNumberFormat="1" applyFont="1" applyFill="1" applyBorder="1" applyAlignment="1">
      <alignment horizontal="center" vertical="center"/>
    </xf>
    <xf numFmtId="0" fontId="37" fillId="2" borderId="18" xfId="6" quotePrefix="1" applyFont="1" applyFill="1" applyBorder="1" applyAlignment="1">
      <alignment horizontal="left" vertical="center" wrapText="1"/>
    </xf>
    <xf numFmtId="0" fontId="37" fillId="2" borderId="18" xfId="6" applyFont="1" applyFill="1" applyBorder="1" applyAlignment="1">
      <alignment horizontal="left" vertical="center" wrapText="1"/>
    </xf>
    <xf numFmtId="0" fontId="37" fillId="2" borderId="18" xfId="6" quotePrefix="1" applyNumberFormat="1" applyFont="1" applyFill="1" applyBorder="1" applyAlignment="1" applyProtection="1">
      <alignment horizontal="left" vertical="center" wrapText="1"/>
    </xf>
    <xf numFmtId="3" fontId="73" fillId="2" borderId="59" xfId="20" applyNumberFormat="1" applyFont="1" applyFill="1" applyBorder="1" applyAlignment="1">
      <alignment vertical="center"/>
    </xf>
    <xf numFmtId="3" fontId="73" fillId="2" borderId="26" xfId="20" applyNumberFormat="1" applyFont="1" applyFill="1" applyBorder="1" applyAlignment="1">
      <alignment vertical="center"/>
    </xf>
    <xf numFmtId="0" fontId="19" fillId="2" borderId="18" xfId="6" applyNumberFormat="1" applyFont="1" applyFill="1" applyBorder="1" applyAlignment="1" applyProtection="1">
      <alignment wrapText="1"/>
    </xf>
    <xf numFmtId="3" fontId="16" fillId="2" borderId="26" xfId="20" applyNumberFormat="1" applyFont="1" applyFill="1" applyBorder="1" applyAlignment="1">
      <alignment vertical="center"/>
    </xf>
    <xf numFmtId="3" fontId="18" fillId="2" borderId="3" xfId="20" applyNumberFormat="1" applyFont="1" applyFill="1" applyBorder="1" applyAlignment="1">
      <alignment vertical="center"/>
    </xf>
    <xf numFmtId="3" fontId="18" fillId="2" borderId="83" xfId="20" applyNumberFormat="1" applyFont="1" applyFill="1" applyBorder="1" applyAlignment="1">
      <alignment vertical="center"/>
    </xf>
    <xf numFmtId="3" fontId="18" fillId="2" borderId="26" xfId="20" applyNumberFormat="1" applyFont="1" applyFill="1" applyBorder="1" applyAlignment="1">
      <alignment vertical="center"/>
    </xf>
    <xf numFmtId="2" fontId="50" fillId="2" borderId="13" xfId="0" applyNumberFormat="1" applyFont="1" applyFill="1" applyBorder="1" applyAlignment="1">
      <alignment horizontal="center" vertical="center"/>
    </xf>
    <xf numFmtId="2" fontId="50" fillId="2" borderId="3" xfId="0" applyNumberFormat="1" applyFont="1" applyFill="1" applyBorder="1" applyAlignment="1">
      <alignment horizontal="center" vertical="center"/>
    </xf>
    <xf numFmtId="2" fontId="50" fillId="2" borderId="29" xfId="0" applyNumberFormat="1" applyFont="1" applyFill="1" applyBorder="1" applyAlignment="1">
      <alignment horizontal="center" vertical="center"/>
    </xf>
    <xf numFmtId="0" fontId="19" fillId="2" borderId="109" xfId="6" applyNumberFormat="1" applyFont="1" applyFill="1" applyBorder="1" applyAlignment="1" applyProtection="1">
      <alignment horizontal="right" vertical="center" wrapText="1"/>
    </xf>
    <xf numFmtId="0" fontId="19" fillId="2" borderId="109" xfId="0" applyNumberFormat="1" applyFont="1" applyFill="1" applyBorder="1" applyAlignment="1" applyProtection="1">
      <alignment wrapText="1"/>
    </xf>
    <xf numFmtId="3" fontId="73" fillId="2" borderId="1" xfId="20" applyNumberFormat="1" applyFont="1" applyFill="1" applyBorder="1" applyAlignment="1">
      <alignment vertical="center"/>
    </xf>
    <xf numFmtId="3" fontId="18" fillId="2" borderId="84" xfId="20" applyNumberFormat="1" applyFont="1" applyFill="1" applyBorder="1" applyAlignment="1">
      <alignment vertical="center"/>
    </xf>
    <xf numFmtId="3" fontId="18" fillId="2" borderId="6" xfId="20" applyNumberFormat="1" applyFont="1" applyFill="1" applyBorder="1" applyAlignment="1">
      <alignment vertical="center"/>
    </xf>
    <xf numFmtId="3" fontId="16" fillId="2" borderId="84" xfId="20" applyNumberFormat="1" applyFont="1" applyFill="1" applyBorder="1" applyAlignment="1">
      <alignment vertical="center"/>
    </xf>
    <xf numFmtId="3" fontId="16" fillId="2" borderId="6" xfId="20" applyNumberFormat="1" applyFont="1" applyFill="1" applyBorder="1" applyAlignment="1">
      <alignment vertical="center"/>
    </xf>
    <xf numFmtId="2" fontId="50" fillId="2" borderId="84" xfId="0" applyNumberFormat="1" applyFont="1" applyFill="1" applyBorder="1" applyAlignment="1">
      <alignment horizontal="center" vertical="center"/>
    </xf>
    <xf numFmtId="2" fontId="50" fillId="2" borderId="66" xfId="0" applyNumberFormat="1" applyFont="1" applyFill="1" applyBorder="1" applyAlignment="1">
      <alignment horizontal="center" vertical="center"/>
    </xf>
    <xf numFmtId="0" fontId="19" fillId="2" borderId="87" xfId="6" applyNumberFormat="1" applyFont="1" applyFill="1" applyBorder="1" applyAlignment="1" applyProtection="1">
      <alignment horizontal="right" vertical="center" wrapText="1"/>
    </xf>
    <xf numFmtId="0" fontId="19" fillId="2" borderId="19" xfId="0" applyNumberFormat="1" applyFont="1" applyFill="1" applyBorder="1" applyAlignment="1" applyProtection="1">
      <alignment wrapText="1"/>
    </xf>
    <xf numFmtId="3" fontId="73" fillId="2" borderId="62" xfId="20" applyNumberFormat="1" applyFont="1" applyFill="1" applyBorder="1" applyAlignment="1">
      <alignment vertical="center"/>
    </xf>
    <xf numFmtId="3" fontId="73" fillId="2" borderId="65" xfId="20" applyNumberFormat="1" applyFont="1" applyFill="1" applyBorder="1" applyAlignment="1">
      <alignment vertical="center"/>
    </xf>
    <xf numFmtId="3" fontId="73" fillId="2" borderId="43" xfId="20" applyNumberFormat="1" applyFont="1" applyFill="1" applyBorder="1" applyAlignment="1">
      <alignment vertical="center"/>
    </xf>
    <xf numFmtId="3" fontId="73" fillId="2" borderId="85" xfId="20" applyNumberFormat="1" applyFont="1" applyFill="1" applyBorder="1" applyAlignment="1">
      <alignment vertical="center"/>
    </xf>
    <xf numFmtId="3" fontId="73" fillId="2" borderId="77" xfId="20" applyNumberFormat="1" applyFont="1" applyFill="1" applyBorder="1" applyAlignment="1">
      <alignment vertical="center"/>
    </xf>
    <xf numFmtId="3" fontId="16" fillId="2" borderId="19" xfId="20" applyNumberFormat="1" applyFont="1" applyFill="1" applyBorder="1" applyAlignment="1">
      <alignment vertical="center"/>
    </xf>
    <xf numFmtId="3" fontId="18" fillId="2" borderId="1" xfId="20" applyNumberFormat="1" applyFont="1" applyFill="1" applyBorder="1" applyAlignment="1">
      <alignment vertical="center"/>
    </xf>
    <xf numFmtId="3" fontId="18" fillId="2" borderId="19" xfId="20" applyNumberFormat="1" applyFont="1" applyFill="1" applyBorder="1" applyAlignment="1">
      <alignment vertical="center"/>
    </xf>
    <xf numFmtId="3" fontId="18" fillId="2" borderId="85" xfId="20" applyNumberFormat="1" applyFont="1" applyFill="1" applyBorder="1" applyAlignment="1">
      <alignment vertical="center"/>
    </xf>
    <xf numFmtId="3" fontId="18" fillId="2" borderId="41" xfId="20" applyNumberFormat="1" applyFont="1" applyFill="1" applyBorder="1" applyAlignment="1">
      <alignment vertical="center"/>
    </xf>
    <xf numFmtId="3" fontId="18" fillId="2" borderId="43" xfId="20" applyNumberFormat="1" applyFont="1" applyFill="1" applyBorder="1" applyAlignment="1">
      <alignment vertical="center"/>
    </xf>
    <xf numFmtId="3" fontId="18" fillId="2" borderId="62" xfId="20" applyNumberFormat="1" applyFont="1" applyFill="1" applyBorder="1" applyAlignment="1">
      <alignment vertical="center"/>
    </xf>
    <xf numFmtId="3" fontId="18" fillId="2" borderId="42" xfId="20" applyNumberFormat="1" applyFont="1" applyFill="1" applyBorder="1" applyAlignment="1">
      <alignment vertical="center"/>
    </xf>
    <xf numFmtId="3" fontId="16" fillId="2" borderId="43" xfId="20" applyNumberFormat="1" applyFont="1" applyFill="1" applyBorder="1" applyAlignment="1">
      <alignment vertical="center"/>
    </xf>
    <xf numFmtId="2" fontId="48" fillId="2" borderId="62" xfId="0" applyNumberFormat="1" applyFont="1" applyFill="1" applyBorder="1" applyAlignment="1">
      <alignment horizontal="center" vertical="center"/>
    </xf>
    <xf numFmtId="2" fontId="48" fillId="2" borderId="77" xfId="0" applyNumberFormat="1" applyFont="1" applyFill="1" applyBorder="1" applyAlignment="1">
      <alignment horizontal="center" vertical="center"/>
    </xf>
    <xf numFmtId="3" fontId="49" fillId="2" borderId="0" xfId="0" applyNumberFormat="1" applyFont="1" applyFill="1" applyBorder="1" applyAlignment="1">
      <alignment horizontal="center" wrapText="1"/>
    </xf>
    <xf numFmtId="3" fontId="39" fillId="2" borderId="0" xfId="20" applyNumberFormat="1" applyFont="1" applyFill="1" applyBorder="1" applyAlignment="1">
      <alignment vertical="center"/>
    </xf>
    <xf numFmtId="3" fontId="21" fillId="2" borderId="0" xfId="0" applyNumberFormat="1" applyFont="1" applyFill="1"/>
    <xf numFmtId="0" fontId="21" fillId="2" borderId="0" xfId="0" applyFont="1" applyFill="1"/>
    <xf numFmtId="2" fontId="21" fillId="2" borderId="0" xfId="0" applyNumberFormat="1" applyFont="1" applyFill="1" applyAlignment="1">
      <alignment horizontal="center" vertical="center"/>
    </xf>
    <xf numFmtId="3" fontId="77" fillId="2" borderId="0" xfId="112" applyNumberFormat="1" applyFont="1" applyFill="1" applyBorder="1" applyAlignment="1">
      <alignment vertical="center"/>
    </xf>
    <xf numFmtId="3" fontId="80" fillId="2" borderId="0" xfId="112" applyNumberFormat="1" applyFont="1" applyFill="1" applyBorder="1" applyAlignment="1">
      <alignment vertical="center"/>
    </xf>
    <xf numFmtId="0" fontId="74" fillId="2" borderId="0" xfId="112" applyFont="1" applyFill="1" applyBorder="1"/>
    <xf numFmtId="0" fontId="76" fillId="2" borderId="0" xfId="112" applyFont="1" applyFill="1" applyBorder="1"/>
    <xf numFmtId="1" fontId="80" fillId="2" borderId="0" xfId="112" applyNumberFormat="1" applyFont="1" applyFill="1" applyBorder="1" applyAlignment="1">
      <alignment horizontal="center" vertical="center"/>
    </xf>
    <xf numFmtId="1" fontId="37" fillId="2" borderId="0" xfId="112" applyNumberFormat="1" applyFont="1" applyFill="1" applyBorder="1" applyAlignment="1">
      <alignment horizontal="center" vertical="center" wrapText="1"/>
    </xf>
    <xf numFmtId="0" fontId="37" fillId="2" borderId="0" xfId="112" applyFont="1" applyFill="1" applyBorder="1" applyAlignment="1">
      <alignment horizontal="center" vertical="center" wrapText="1"/>
    </xf>
    <xf numFmtId="4" fontId="37" fillId="2" borderId="0" xfId="112" applyNumberFormat="1" applyFont="1" applyFill="1" applyBorder="1" applyAlignment="1">
      <alignment horizontal="center" vertical="center"/>
    </xf>
    <xf numFmtId="0" fontId="76" fillId="2" borderId="0" xfId="112" applyFont="1" applyFill="1" applyBorder="1" applyAlignment="1">
      <alignment vertical="center"/>
    </xf>
    <xf numFmtId="3" fontId="68" fillId="60" borderId="62" xfId="112" applyNumberFormat="1" applyFont="1" applyFill="1" applyBorder="1" applyAlignment="1">
      <alignment horizontal="center" vertical="center"/>
    </xf>
    <xf numFmtId="3" fontId="68" fillId="60" borderId="78" xfId="112" applyNumberFormat="1" applyFont="1" applyFill="1" applyBorder="1" applyAlignment="1">
      <alignment horizontal="center" vertical="center" wrapText="1"/>
    </xf>
    <xf numFmtId="3" fontId="68" fillId="60" borderId="77" xfId="112" applyNumberFormat="1" applyFont="1" applyFill="1" applyBorder="1" applyAlignment="1">
      <alignment horizontal="center" vertical="center" wrapText="1"/>
    </xf>
    <xf numFmtId="3" fontId="68" fillId="60" borderId="85" xfId="112" applyNumberFormat="1" applyFont="1" applyFill="1" applyBorder="1" applyAlignment="1">
      <alignment horizontal="center" vertical="center"/>
    </xf>
    <xf numFmtId="3" fontId="68" fillId="60" borderId="65" xfId="112" applyNumberFormat="1" applyFont="1" applyFill="1" applyBorder="1" applyAlignment="1">
      <alignment horizontal="center" vertical="center" wrapText="1"/>
    </xf>
    <xf numFmtId="3" fontId="68" fillId="60" borderId="7" xfId="112" applyNumberFormat="1" applyFont="1" applyFill="1" applyBorder="1" applyAlignment="1">
      <alignment horizontal="center" vertical="center"/>
    </xf>
    <xf numFmtId="3" fontId="68" fillId="60" borderId="9" xfId="112" applyNumberFormat="1" applyFont="1" applyFill="1" applyBorder="1" applyAlignment="1">
      <alignment horizontal="center" vertical="center" wrapText="1"/>
    </xf>
    <xf numFmtId="3" fontId="68" fillId="60" borderId="55" xfId="112" applyNumberFormat="1" applyFont="1" applyFill="1" applyBorder="1" applyAlignment="1">
      <alignment horizontal="center" vertical="center" wrapText="1"/>
    </xf>
    <xf numFmtId="0" fontId="76" fillId="2" borderId="0" xfId="112" applyFont="1" applyFill="1" applyBorder="1" applyAlignment="1">
      <alignment horizontal="center" vertical="center"/>
    </xf>
    <xf numFmtId="1" fontId="37" fillId="2" borderId="16" xfId="112" applyNumberFormat="1" applyFont="1" applyFill="1" applyBorder="1" applyAlignment="1">
      <alignment horizontal="center" vertical="center"/>
    </xf>
    <xf numFmtId="1" fontId="37" fillId="2" borderId="14" xfId="112" applyNumberFormat="1" applyFont="1" applyFill="1" applyBorder="1" applyAlignment="1">
      <alignment horizontal="center" vertical="center" wrapText="1"/>
    </xf>
    <xf numFmtId="0" fontId="37" fillId="2" borderId="14" xfId="112" applyFont="1" applyFill="1" applyBorder="1" applyAlignment="1">
      <alignment horizontal="center" vertical="center" wrapText="1"/>
    </xf>
    <xf numFmtId="0" fontId="37" fillId="2" borderId="15" xfId="112" applyFont="1" applyFill="1" applyBorder="1" applyAlignment="1">
      <alignment horizontal="center" vertical="center" wrapText="1"/>
    </xf>
    <xf numFmtId="4" fontId="37" fillId="2" borderId="12" xfId="112" applyNumberFormat="1" applyFont="1" applyFill="1" applyBorder="1" applyAlignment="1">
      <alignment horizontal="center" vertical="center"/>
    </xf>
    <xf numFmtId="3" fontId="37" fillId="61" borderId="21" xfId="33" applyNumberFormat="1" applyFont="1" applyFill="1" applyBorder="1" applyAlignment="1" applyProtection="1">
      <alignment vertical="center"/>
      <protection locked="0"/>
    </xf>
    <xf numFmtId="3" fontId="37" fillId="61" borderId="81" xfId="112" applyNumberFormat="1" applyFont="1" applyFill="1" applyBorder="1" applyAlignment="1">
      <alignment vertical="center"/>
    </xf>
    <xf numFmtId="3" fontId="37" fillId="61" borderId="22" xfId="112" applyNumberFormat="1" applyFont="1" applyFill="1" applyBorder="1" applyAlignment="1">
      <alignment vertical="center"/>
    </xf>
    <xf numFmtId="4" fontId="76" fillId="2" borderId="60" xfId="112" applyNumberFormat="1" applyFont="1" applyFill="1" applyBorder="1" applyAlignment="1">
      <alignment horizontal="right" vertical="center"/>
    </xf>
    <xf numFmtId="4" fontId="76" fillId="2" borderId="81" xfId="112" applyNumberFormat="1" applyFont="1" applyFill="1" applyBorder="1" applyAlignment="1">
      <alignment horizontal="right" vertical="center"/>
    </xf>
    <xf numFmtId="4" fontId="76" fillId="2" borderId="61" xfId="112" applyNumberFormat="1" applyFont="1" applyFill="1" applyBorder="1" applyAlignment="1">
      <alignment horizontal="right" vertical="center"/>
    </xf>
    <xf numFmtId="4" fontId="76" fillId="2" borderId="21" xfId="112" applyNumberFormat="1" applyFont="1" applyFill="1" applyBorder="1" applyAlignment="1">
      <alignment horizontal="right" vertical="center"/>
    </xf>
    <xf numFmtId="4" fontId="76" fillId="2" borderId="22" xfId="112" applyNumberFormat="1" applyFont="1" applyFill="1" applyBorder="1" applyAlignment="1">
      <alignment horizontal="right" vertical="center"/>
    </xf>
    <xf numFmtId="4" fontId="76" fillId="24" borderId="21" xfId="112" applyNumberFormat="1" applyFont="1" applyFill="1" applyBorder="1" applyAlignment="1">
      <alignment horizontal="right" vertical="center"/>
    </xf>
    <xf numFmtId="4" fontId="76" fillId="24" borderId="81" xfId="112" applyNumberFormat="1" applyFont="1" applyFill="1" applyBorder="1" applyAlignment="1">
      <alignment horizontal="right" vertical="center"/>
    </xf>
    <xf numFmtId="4" fontId="76" fillId="24" borderId="22" xfId="112" applyNumberFormat="1" applyFont="1" applyFill="1" applyBorder="1" applyAlignment="1">
      <alignment horizontal="right" vertical="center"/>
    </xf>
    <xf numFmtId="4" fontId="76" fillId="2" borderId="21" xfId="112" applyNumberFormat="1" applyFont="1" applyFill="1" applyBorder="1"/>
    <xf numFmtId="4" fontId="76" fillId="2" borderId="81" xfId="112" applyNumberFormat="1" applyFont="1" applyFill="1" applyBorder="1"/>
    <xf numFmtId="4" fontId="76" fillId="2" borderId="22" xfId="112" applyNumberFormat="1" applyFont="1" applyFill="1" applyBorder="1"/>
    <xf numFmtId="4" fontId="76" fillId="2" borderId="60" xfId="112" applyNumberFormat="1" applyFont="1" applyFill="1" applyBorder="1"/>
    <xf numFmtId="4" fontId="76" fillId="2" borderId="61" xfId="112" applyNumberFormat="1" applyFont="1" applyFill="1" applyBorder="1"/>
    <xf numFmtId="4" fontId="76" fillId="65" borderId="60" xfId="112" applyNumberFormat="1" applyFont="1" applyFill="1" applyBorder="1"/>
    <xf numFmtId="4" fontId="76" fillId="65" borderId="81" xfId="112" applyNumberFormat="1" applyFont="1" applyFill="1" applyBorder="1"/>
    <xf numFmtId="4" fontId="76" fillId="65" borderId="61" xfId="112" applyNumberFormat="1" applyFont="1" applyFill="1" applyBorder="1"/>
    <xf numFmtId="0" fontId="76" fillId="2" borderId="21" xfId="112" applyFont="1" applyFill="1" applyBorder="1"/>
    <xf numFmtId="0" fontId="76" fillId="2" borderId="81" xfId="112" applyFont="1" applyFill="1" applyBorder="1"/>
    <xf numFmtId="0" fontId="76" fillId="2" borderId="22" xfId="112" applyFont="1" applyFill="1" applyBorder="1"/>
    <xf numFmtId="3" fontId="37" fillId="61" borderId="28" xfId="33" applyNumberFormat="1" applyFont="1" applyFill="1" applyBorder="1" applyAlignment="1" applyProtection="1">
      <alignment vertical="center"/>
      <protection locked="0"/>
    </xf>
    <xf numFmtId="3" fontId="37" fillId="61" borderId="1" xfId="112" applyNumberFormat="1" applyFont="1" applyFill="1" applyBorder="1" applyAlignment="1">
      <alignment vertical="center"/>
    </xf>
    <xf numFmtId="3" fontId="37" fillId="61" borderId="29" xfId="112" applyNumberFormat="1" applyFont="1" applyFill="1" applyBorder="1" applyAlignment="1">
      <alignment vertical="center"/>
    </xf>
    <xf numFmtId="4" fontId="76" fillId="2" borderId="3" xfId="112" applyNumberFormat="1" applyFont="1" applyFill="1" applyBorder="1" applyAlignment="1">
      <alignment horizontal="right" vertical="center"/>
    </xf>
    <xf numFmtId="4" fontId="76" fillId="2" borderId="1" xfId="112" applyNumberFormat="1" applyFont="1" applyFill="1" applyBorder="1" applyAlignment="1">
      <alignment horizontal="right" vertical="center"/>
    </xf>
    <xf numFmtId="4" fontId="76" fillId="2" borderId="2" xfId="112" applyNumberFormat="1" applyFont="1" applyFill="1" applyBorder="1" applyAlignment="1">
      <alignment horizontal="right" vertical="center"/>
    </xf>
    <xf numFmtId="4" fontId="76" fillId="2" borderId="28" xfId="112" applyNumberFormat="1" applyFont="1" applyFill="1" applyBorder="1" applyAlignment="1">
      <alignment horizontal="right" vertical="center"/>
    </xf>
    <xf numFmtId="4" fontId="76" fillId="2" borderId="29" xfId="112" applyNumberFormat="1" applyFont="1" applyFill="1" applyBorder="1" applyAlignment="1">
      <alignment horizontal="right" vertical="center"/>
    </xf>
    <xf numFmtId="4" fontId="76" fillId="24" borderId="28" xfId="112" applyNumberFormat="1" applyFont="1" applyFill="1" applyBorder="1" applyAlignment="1">
      <alignment horizontal="right" vertical="center"/>
    </xf>
    <xf numFmtId="4" fontId="76" fillId="24" borderId="1" xfId="112" applyNumberFormat="1" applyFont="1" applyFill="1" applyBorder="1" applyAlignment="1">
      <alignment horizontal="right" vertical="center"/>
    </xf>
    <xf numFmtId="4" fontId="76" fillId="24" borderId="29" xfId="112" applyNumberFormat="1" applyFont="1" applyFill="1" applyBorder="1" applyAlignment="1">
      <alignment horizontal="right" vertical="center"/>
    </xf>
    <xf numFmtId="4" fontId="76" fillId="2" borderId="28" xfId="112" applyNumberFormat="1" applyFont="1" applyFill="1" applyBorder="1"/>
    <xf numFmtId="4" fontId="76" fillId="2" borderId="1" xfId="112" applyNumberFormat="1" applyFont="1" applyFill="1" applyBorder="1"/>
    <xf numFmtId="4" fontId="76" fillId="2" borderId="29" xfId="112" applyNumberFormat="1" applyFont="1" applyFill="1" applyBorder="1"/>
    <xf numFmtId="4" fontId="76" fillId="2" borderId="3" xfId="112" applyNumberFormat="1" applyFont="1" applyFill="1" applyBorder="1"/>
    <xf numFmtId="4" fontId="76" fillId="2" borderId="2" xfId="112" applyNumberFormat="1" applyFont="1" applyFill="1" applyBorder="1"/>
    <xf numFmtId="4" fontId="76" fillId="65" borderId="3" xfId="112" applyNumberFormat="1" applyFont="1" applyFill="1" applyBorder="1"/>
    <xf numFmtId="4" fontId="76" fillId="65" borderId="1" xfId="112" applyNumberFormat="1" applyFont="1" applyFill="1" applyBorder="1"/>
    <xf numFmtId="4" fontId="76" fillId="65" borderId="2" xfId="112" applyNumberFormat="1" applyFont="1" applyFill="1" applyBorder="1"/>
    <xf numFmtId="0" fontId="76" fillId="2" borderId="28" xfId="112" applyFont="1" applyFill="1" applyBorder="1"/>
    <xf numFmtId="0" fontId="76" fillId="2" borderId="1" xfId="112" applyFont="1" applyFill="1" applyBorder="1"/>
    <xf numFmtId="0" fontId="76" fillId="2" borderId="29" xfId="112" applyFont="1" applyFill="1" applyBorder="1"/>
    <xf numFmtId="1" fontId="37" fillId="2" borderId="28" xfId="112" applyNumberFormat="1" applyFont="1" applyFill="1" applyBorder="1" applyAlignment="1">
      <alignment horizontal="center" vertical="center"/>
    </xf>
    <xf numFmtId="1" fontId="37" fillId="2" borderId="1" xfId="112" applyNumberFormat="1" applyFont="1" applyFill="1" applyBorder="1" applyAlignment="1">
      <alignment horizontal="center" vertical="center" wrapText="1"/>
    </xf>
    <xf numFmtId="0" fontId="37" fillId="2" borderId="1" xfId="112" applyFont="1" applyFill="1" applyBorder="1" applyAlignment="1">
      <alignment horizontal="center" vertical="center" wrapText="1"/>
    </xf>
    <xf numFmtId="0" fontId="37" fillId="2" borderId="2" xfId="112" applyFont="1" applyFill="1" applyBorder="1" applyAlignment="1">
      <alignment horizontal="center" vertical="center" wrapText="1"/>
    </xf>
    <xf numFmtId="4" fontId="37" fillId="2" borderId="18" xfId="112" applyNumberFormat="1" applyFont="1" applyFill="1" applyBorder="1" applyAlignment="1">
      <alignment horizontal="center" vertical="center"/>
    </xf>
    <xf numFmtId="1" fontId="37" fillId="2" borderId="33" xfId="112" applyNumberFormat="1" applyFont="1" applyFill="1" applyBorder="1" applyAlignment="1">
      <alignment horizontal="center" vertical="center"/>
    </xf>
    <xf numFmtId="1" fontId="37" fillId="2" borderId="5" xfId="112" applyNumberFormat="1" applyFont="1" applyFill="1" applyBorder="1" applyAlignment="1">
      <alignment horizontal="center" vertical="center" wrapText="1"/>
    </xf>
    <xf numFmtId="0" fontId="37" fillId="2" borderId="5" xfId="112" applyFont="1" applyFill="1" applyBorder="1" applyAlignment="1">
      <alignment horizontal="center" vertical="center" wrapText="1"/>
    </xf>
    <xf numFmtId="0" fontId="37" fillId="2" borderId="6" xfId="112" applyFont="1" applyFill="1" applyBorder="1" applyAlignment="1">
      <alignment horizontal="center" vertical="center" wrapText="1"/>
    </xf>
    <xf numFmtId="4" fontId="37" fillId="2" borderId="83" xfId="112" applyNumberFormat="1" applyFont="1" applyFill="1" applyBorder="1" applyAlignment="1">
      <alignment horizontal="center" vertical="center"/>
    </xf>
    <xf numFmtId="3" fontId="37" fillId="61" borderId="33" xfId="33" applyNumberFormat="1" applyFont="1" applyFill="1" applyBorder="1" applyAlignment="1" applyProtection="1">
      <alignment vertical="center"/>
      <protection locked="0"/>
    </xf>
    <xf numFmtId="3" fontId="37" fillId="61" borderId="5" xfId="112" applyNumberFormat="1" applyFont="1" applyFill="1" applyBorder="1" applyAlignment="1">
      <alignment vertical="center"/>
    </xf>
    <xf numFmtId="3" fontId="37" fillId="61" borderId="66" xfId="112" applyNumberFormat="1" applyFont="1" applyFill="1" applyBorder="1" applyAlignment="1">
      <alignment vertical="center"/>
    </xf>
    <xf numFmtId="4" fontId="76" fillId="2" borderId="84" xfId="112" applyNumberFormat="1" applyFont="1" applyFill="1" applyBorder="1" applyAlignment="1">
      <alignment horizontal="right" vertical="center"/>
    </xf>
    <xf numFmtId="4" fontId="76" fillId="2" borderId="5" xfId="112" applyNumberFormat="1" applyFont="1" applyFill="1" applyBorder="1" applyAlignment="1">
      <alignment horizontal="right" vertical="center"/>
    </xf>
    <xf numFmtId="4" fontId="76" fillId="2" borderId="6" xfId="112" applyNumberFormat="1" applyFont="1" applyFill="1" applyBorder="1" applyAlignment="1">
      <alignment horizontal="right" vertical="center"/>
    </xf>
    <xf numFmtId="4" fontId="76" fillId="2" borderId="33" xfId="112" applyNumberFormat="1" applyFont="1" applyFill="1" applyBorder="1" applyAlignment="1">
      <alignment horizontal="right" vertical="center"/>
    </xf>
    <xf numFmtId="4" fontId="76" fillId="2" borderId="66" xfId="112" applyNumberFormat="1" applyFont="1" applyFill="1" applyBorder="1" applyAlignment="1">
      <alignment horizontal="right" vertical="center"/>
    </xf>
    <xf numFmtId="4" fontId="76" fillId="24" borderId="33" xfId="112" applyNumberFormat="1" applyFont="1" applyFill="1" applyBorder="1" applyAlignment="1">
      <alignment horizontal="right" vertical="center"/>
    </xf>
    <xf numFmtId="4" fontId="76" fillId="24" borderId="5" xfId="112" applyNumberFormat="1" applyFont="1" applyFill="1" applyBorder="1" applyAlignment="1">
      <alignment horizontal="right" vertical="center"/>
    </xf>
    <xf numFmtId="4" fontId="76" fillId="24" borderId="66" xfId="112" applyNumberFormat="1" applyFont="1" applyFill="1" applyBorder="1" applyAlignment="1">
      <alignment horizontal="right" vertical="center"/>
    </xf>
    <xf numFmtId="0" fontId="76" fillId="2" borderId="6" xfId="112" applyFont="1" applyFill="1" applyBorder="1"/>
    <xf numFmtId="4" fontId="76" fillId="2" borderId="33" xfId="112" applyNumberFormat="1" applyFont="1" applyFill="1" applyBorder="1"/>
    <xf numFmtId="4" fontId="76" fillId="2" borderId="5" xfId="112" applyNumberFormat="1" applyFont="1" applyFill="1" applyBorder="1"/>
    <xf numFmtId="4" fontId="76" fillId="2" borderId="66" xfId="112" applyNumberFormat="1" applyFont="1" applyFill="1" applyBorder="1"/>
    <xf numFmtId="4" fontId="76" fillId="2" borderId="84" xfId="112" applyNumberFormat="1" applyFont="1" applyFill="1" applyBorder="1"/>
    <xf numFmtId="4" fontId="76" fillId="2" borderId="6" xfId="112" applyNumberFormat="1" applyFont="1" applyFill="1" applyBorder="1"/>
    <xf numFmtId="4" fontId="76" fillId="65" borderId="84" xfId="112" applyNumberFormat="1" applyFont="1" applyFill="1" applyBorder="1"/>
    <xf numFmtId="4" fontId="76" fillId="65" borderId="5" xfId="112" applyNumberFormat="1" applyFont="1" applyFill="1" applyBorder="1"/>
    <xf numFmtId="4" fontId="76" fillId="65" borderId="6" xfId="112" applyNumberFormat="1" applyFont="1" applyFill="1" applyBorder="1"/>
    <xf numFmtId="0" fontId="76" fillId="2" borderId="33" xfId="112" applyFont="1" applyFill="1" applyBorder="1"/>
    <xf numFmtId="0" fontId="76" fillId="2" borderId="5" xfId="112" applyFont="1" applyFill="1" applyBorder="1"/>
    <xf numFmtId="0" fontId="76" fillId="2" borderId="66" xfId="112" applyFont="1" applyFill="1" applyBorder="1"/>
    <xf numFmtId="1" fontId="77" fillId="60" borderId="30" xfId="112" applyNumberFormat="1" applyFont="1" applyFill="1" applyBorder="1" applyAlignment="1">
      <alignment horizontal="center" vertical="center"/>
    </xf>
    <xf numFmtId="1" fontId="77" fillId="60" borderId="7" xfId="112" applyNumberFormat="1" applyFont="1" applyFill="1" applyBorder="1" applyAlignment="1">
      <alignment horizontal="center" vertical="center" wrapText="1"/>
    </xf>
    <xf numFmtId="1" fontId="77" fillId="60" borderId="9" xfId="112" applyNumberFormat="1" applyFont="1" applyFill="1" applyBorder="1" applyAlignment="1">
      <alignment horizontal="center" vertical="center" wrapText="1"/>
    </xf>
    <xf numFmtId="0" fontId="77" fillId="60" borderId="9" xfId="112" applyFont="1" applyFill="1" applyBorder="1" applyAlignment="1">
      <alignment horizontal="center" vertical="center" wrapText="1"/>
    </xf>
    <xf numFmtId="0" fontId="77" fillId="60" borderId="10" xfId="112" applyFont="1" applyFill="1" applyBorder="1" applyAlignment="1">
      <alignment horizontal="center" vertical="center" wrapText="1"/>
    </xf>
    <xf numFmtId="4" fontId="77" fillId="60" borderId="11" xfId="112" applyNumberFormat="1" applyFont="1" applyFill="1" applyBorder="1" applyAlignment="1">
      <alignment horizontal="center" vertical="center"/>
    </xf>
    <xf numFmtId="3" fontId="77" fillId="60" borderId="7" xfId="112" applyNumberFormat="1" applyFont="1" applyFill="1" applyBorder="1" applyAlignment="1">
      <alignment vertical="center"/>
    </xf>
    <xf numFmtId="3" fontId="77" fillId="60" borderId="9" xfId="112" applyNumberFormat="1" applyFont="1" applyFill="1" applyBorder="1" applyAlignment="1">
      <alignment vertical="center"/>
    </xf>
    <xf numFmtId="3" fontId="77" fillId="60" borderId="55" xfId="112" applyNumberFormat="1" applyFont="1" applyFill="1" applyBorder="1" applyAlignment="1">
      <alignment vertical="center"/>
    </xf>
    <xf numFmtId="3" fontId="77" fillId="60" borderId="8" xfId="112" applyNumberFormat="1" applyFont="1" applyFill="1" applyBorder="1" applyAlignment="1">
      <alignment vertical="center"/>
    </xf>
    <xf numFmtId="3" fontId="77" fillId="60" borderId="10" xfId="112" applyNumberFormat="1" applyFont="1" applyFill="1" applyBorder="1" applyAlignment="1">
      <alignment vertical="center"/>
    </xf>
    <xf numFmtId="0" fontId="78" fillId="2" borderId="0" xfId="112" applyFont="1" applyFill="1" applyBorder="1"/>
    <xf numFmtId="3" fontId="37" fillId="61" borderId="16" xfId="33" applyNumberFormat="1" applyFont="1" applyFill="1" applyBorder="1" applyAlignment="1" applyProtection="1">
      <alignment vertical="center"/>
      <protection locked="0"/>
    </xf>
    <xf numFmtId="3" fontId="37" fillId="61" borderId="14" xfId="112" applyNumberFormat="1" applyFont="1" applyFill="1" applyBorder="1" applyAlignment="1">
      <alignment vertical="center"/>
    </xf>
    <xf numFmtId="3" fontId="37" fillId="61" borderId="17" xfId="112" applyNumberFormat="1" applyFont="1" applyFill="1" applyBorder="1" applyAlignment="1">
      <alignment vertical="center"/>
    </xf>
    <xf numFmtId="4" fontId="76" fillId="2" borderId="13" xfId="112" applyNumberFormat="1" applyFont="1" applyFill="1" applyBorder="1" applyAlignment="1">
      <alignment horizontal="right" vertical="center"/>
    </xf>
    <xf numFmtId="4" fontId="76" fillId="2" borderId="14" xfId="112" applyNumberFormat="1" applyFont="1" applyFill="1" applyBorder="1" applyAlignment="1">
      <alignment horizontal="right" vertical="center"/>
    </xf>
    <xf numFmtId="4" fontId="76" fillId="2" borderId="15" xfId="112" applyNumberFormat="1" applyFont="1" applyFill="1" applyBorder="1" applyAlignment="1">
      <alignment horizontal="right" vertical="center"/>
    </xf>
    <xf numFmtId="4" fontId="76" fillId="2" borderId="16" xfId="112" applyNumberFormat="1" applyFont="1" applyFill="1" applyBorder="1" applyAlignment="1">
      <alignment horizontal="right" vertical="center"/>
    </xf>
    <xf numFmtId="4" fontId="76" fillId="2" borderId="17" xfId="112" applyNumberFormat="1" applyFont="1" applyFill="1" applyBorder="1" applyAlignment="1">
      <alignment horizontal="right" vertical="center"/>
    </xf>
    <xf numFmtId="4" fontId="76" fillId="24" borderId="16" xfId="112" applyNumberFormat="1" applyFont="1" applyFill="1" applyBorder="1" applyAlignment="1">
      <alignment horizontal="right" vertical="center"/>
    </xf>
    <xf numFmtId="4" fontId="76" fillId="24" borderId="14" xfId="112" applyNumberFormat="1" applyFont="1" applyFill="1" applyBorder="1" applyAlignment="1">
      <alignment horizontal="right" vertical="center"/>
    </xf>
    <xf numFmtId="4" fontId="76" fillId="24" borderId="17" xfId="112" applyNumberFormat="1" applyFont="1" applyFill="1" applyBorder="1" applyAlignment="1">
      <alignment horizontal="right" vertical="center"/>
    </xf>
    <xf numFmtId="4" fontId="76" fillId="65" borderId="13" xfId="112" applyNumberFormat="1" applyFont="1" applyFill="1" applyBorder="1"/>
    <xf numFmtId="4" fontId="76" fillId="65" borderId="14" xfId="112" applyNumberFormat="1" applyFont="1" applyFill="1" applyBorder="1"/>
    <xf numFmtId="4" fontId="76" fillId="65" borderId="15" xfId="112" applyNumberFormat="1" applyFont="1" applyFill="1" applyBorder="1"/>
    <xf numFmtId="0" fontId="76" fillId="2" borderId="16" xfId="112" applyFont="1" applyFill="1" applyBorder="1"/>
    <xf numFmtId="0" fontId="76" fillId="2" borderId="14" xfId="112" applyFont="1" applyFill="1" applyBorder="1"/>
    <xf numFmtId="0" fontId="76" fillId="2" borderId="17" xfId="112" applyFont="1" applyFill="1" applyBorder="1"/>
    <xf numFmtId="1" fontId="77" fillId="60" borderId="7" xfId="112" applyNumberFormat="1" applyFont="1" applyFill="1" applyBorder="1" applyAlignment="1">
      <alignment horizontal="center" vertical="center"/>
    </xf>
    <xf numFmtId="4" fontId="78" fillId="60" borderId="7" xfId="112" applyNumberFormat="1" applyFont="1" applyFill="1" applyBorder="1" applyAlignment="1">
      <alignment horizontal="right" vertical="center"/>
    </xf>
    <xf numFmtId="4" fontId="78" fillId="60" borderId="9" xfId="112" applyNumberFormat="1" applyFont="1" applyFill="1" applyBorder="1" applyAlignment="1">
      <alignment horizontal="right" vertical="center"/>
    </xf>
    <xf numFmtId="4" fontId="78" fillId="60" borderId="55" xfId="112" applyNumberFormat="1" applyFont="1" applyFill="1" applyBorder="1" applyAlignment="1">
      <alignment horizontal="right" vertical="center"/>
    </xf>
    <xf numFmtId="4" fontId="78" fillId="60" borderId="8" xfId="112" applyNumberFormat="1" applyFont="1" applyFill="1" applyBorder="1"/>
    <xf numFmtId="4" fontId="78" fillId="60" borderId="9" xfId="112" applyNumberFormat="1" applyFont="1" applyFill="1" applyBorder="1"/>
    <xf numFmtId="4" fontId="78" fillId="60" borderId="10" xfId="112" applyNumberFormat="1" applyFont="1" applyFill="1" applyBorder="1"/>
    <xf numFmtId="1" fontId="77" fillId="58" borderId="7" xfId="112" applyNumberFormat="1" applyFont="1" applyFill="1" applyBorder="1" applyAlignment="1">
      <alignment horizontal="center" vertical="center"/>
    </xf>
    <xf numFmtId="1" fontId="77" fillId="58" borderId="9" xfId="112" applyNumberFormat="1" applyFont="1" applyFill="1" applyBorder="1" applyAlignment="1">
      <alignment horizontal="center" vertical="center" wrapText="1"/>
    </xf>
    <xf numFmtId="0" fontId="77" fillId="58" borderId="9" xfId="112" applyFont="1" applyFill="1" applyBorder="1" applyAlignment="1">
      <alignment horizontal="center" vertical="center" wrapText="1"/>
    </xf>
    <xf numFmtId="0" fontId="77" fillId="58" borderId="10" xfId="112" applyFont="1" applyFill="1" applyBorder="1" applyAlignment="1">
      <alignment horizontal="center" vertical="center" wrapText="1"/>
    </xf>
    <xf numFmtId="4" fontId="77" fillId="58" borderId="11" xfId="112" applyNumberFormat="1" applyFont="1" applyFill="1" applyBorder="1" applyAlignment="1">
      <alignment horizontal="center" vertical="center"/>
    </xf>
    <xf numFmtId="3" fontId="77" fillId="58" borderId="7" xfId="112" applyNumberFormat="1" applyFont="1" applyFill="1" applyBorder="1" applyAlignment="1">
      <alignment vertical="center"/>
    </xf>
    <xf numFmtId="3" fontId="77" fillId="58" borderId="9" xfId="112" applyNumberFormat="1" applyFont="1" applyFill="1" applyBorder="1" applyAlignment="1">
      <alignment vertical="center"/>
    </xf>
    <xf numFmtId="3" fontId="77" fillId="58" borderId="55" xfId="112" applyNumberFormat="1" applyFont="1" applyFill="1" applyBorder="1" applyAlignment="1">
      <alignment vertical="center"/>
    </xf>
    <xf numFmtId="3" fontId="77" fillId="58" borderId="8" xfId="112" applyNumberFormat="1" applyFont="1" applyFill="1" applyBorder="1" applyAlignment="1">
      <alignment vertical="center"/>
    </xf>
    <xf numFmtId="3" fontId="77" fillId="58" borderId="10" xfId="112" applyNumberFormat="1" applyFont="1" applyFill="1" applyBorder="1" applyAlignment="1">
      <alignment vertical="center"/>
    </xf>
    <xf numFmtId="0" fontId="77" fillId="2" borderId="0" xfId="112" applyFont="1" applyFill="1" applyBorder="1"/>
    <xf numFmtId="4" fontId="10" fillId="2" borderId="3" xfId="33" applyNumberFormat="1" applyFont="1" applyFill="1" applyBorder="1" applyAlignment="1" applyProtection="1">
      <alignment horizontal="right" vertical="center"/>
      <protection locked="0"/>
    </xf>
    <xf numFmtId="4" fontId="10" fillId="2" borderId="1" xfId="33" applyNumberFormat="1" applyFont="1" applyFill="1" applyBorder="1" applyAlignment="1" applyProtection="1">
      <alignment horizontal="right" vertical="center"/>
      <protection locked="0"/>
    </xf>
    <xf numFmtId="4" fontId="10" fillId="2" borderId="2" xfId="33" applyNumberFormat="1" applyFont="1" applyFill="1" applyBorder="1" applyAlignment="1" applyProtection="1">
      <alignment horizontal="right" vertical="center"/>
      <protection locked="0"/>
    </xf>
    <xf numFmtId="4" fontId="10" fillId="2" borderId="28" xfId="33" applyNumberFormat="1" applyFont="1" applyFill="1" applyBorder="1" applyAlignment="1" applyProtection="1">
      <alignment horizontal="right" vertical="center"/>
      <protection locked="0"/>
    </xf>
    <xf numFmtId="4" fontId="10" fillId="2" borderId="29" xfId="33" applyNumberFormat="1" applyFont="1" applyFill="1" applyBorder="1" applyAlignment="1" applyProtection="1">
      <alignment horizontal="right" vertical="center"/>
      <protection locked="0"/>
    </xf>
    <xf numFmtId="0" fontId="73" fillId="2" borderId="14" xfId="34" quotePrefix="1" applyNumberFormat="1" applyFont="1" applyFill="1" applyBorder="1" applyAlignment="1" applyProtection="1">
      <alignment horizontal="center" vertical="center" justifyLastLine="1"/>
      <protection locked="0"/>
    </xf>
    <xf numFmtId="0" fontId="73" fillId="2" borderId="15" xfId="34" quotePrefix="1" applyNumberFormat="1" applyFont="1" applyFill="1" applyBorder="1" applyAlignment="1" applyProtection="1">
      <alignment horizontal="center" vertical="center" wrapText="1" justifyLastLine="1"/>
    </xf>
    <xf numFmtId="0" fontId="73" fillId="2" borderId="1" xfId="34" quotePrefix="1" applyNumberFormat="1" applyFont="1" applyFill="1" applyBorder="1" applyAlignment="1" applyProtection="1">
      <alignment horizontal="center" vertical="center" justifyLastLine="1"/>
      <protection locked="0"/>
    </xf>
    <xf numFmtId="0" fontId="73" fillId="2" borderId="2" xfId="34" quotePrefix="1" applyNumberFormat="1" applyFont="1" applyFill="1" applyBorder="1" applyAlignment="1" applyProtection="1">
      <alignment horizontal="center" vertical="center" wrapText="1" justifyLastLine="1"/>
    </xf>
    <xf numFmtId="0" fontId="73" fillId="2" borderId="5" xfId="34" quotePrefix="1" applyNumberFormat="1" applyFont="1" applyFill="1" applyBorder="1" applyAlignment="1" applyProtection="1">
      <alignment horizontal="center" vertical="center" justifyLastLine="1"/>
      <protection locked="0"/>
    </xf>
    <xf numFmtId="0" fontId="73" fillId="2" borderId="6" xfId="34" quotePrefix="1" applyNumberFormat="1" applyFont="1" applyFill="1" applyBorder="1" applyAlignment="1" applyProtection="1">
      <alignment horizontal="center" vertical="center" wrapText="1" justifyLastLine="1"/>
    </xf>
    <xf numFmtId="4" fontId="37" fillId="2" borderId="13" xfId="112" applyNumberFormat="1" applyFont="1" applyFill="1" applyBorder="1" applyAlignment="1">
      <alignment horizontal="right" vertical="center"/>
    </xf>
    <xf numFmtId="4" fontId="37" fillId="2" borderId="14" xfId="112" applyNumberFormat="1" applyFont="1" applyFill="1" applyBorder="1" applyAlignment="1">
      <alignment horizontal="right" vertical="center"/>
    </xf>
    <xf numFmtId="4" fontId="37" fillId="2" borderId="15" xfId="112" applyNumberFormat="1" applyFont="1" applyFill="1" applyBorder="1" applyAlignment="1">
      <alignment horizontal="right" vertical="center"/>
    </xf>
    <xf numFmtId="4" fontId="37" fillId="2" borderId="16" xfId="112" applyNumberFormat="1" applyFont="1" applyFill="1" applyBorder="1" applyAlignment="1">
      <alignment horizontal="right" vertical="center"/>
    </xf>
    <xf numFmtId="4" fontId="37" fillId="2" borderId="17" xfId="112" applyNumberFormat="1" applyFont="1" applyFill="1" applyBorder="1" applyAlignment="1">
      <alignment horizontal="right" vertical="center"/>
    </xf>
    <xf numFmtId="4" fontId="37" fillId="2" borderId="3" xfId="112" applyNumberFormat="1" applyFont="1" applyFill="1" applyBorder="1" applyAlignment="1">
      <alignment horizontal="right" vertical="center"/>
    </xf>
    <xf numFmtId="4" fontId="37" fillId="2" borderId="1" xfId="112" applyNumberFormat="1" applyFont="1" applyFill="1" applyBorder="1" applyAlignment="1">
      <alignment horizontal="right" vertical="center"/>
    </xf>
    <xf numFmtId="4" fontId="37" fillId="2" borderId="2" xfId="112" applyNumberFormat="1" applyFont="1" applyFill="1" applyBorder="1" applyAlignment="1">
      <alignment horizontal="right" vertical="center"/>
    </xf>
    <xf numFmtId="4" fontId="37" fillId="2" borderId="28" xfId="112" applyNumberFormat="1" applyFont="1" applyFill="1" applyBorder="1" applyAlignment="1">
      <alignment horizontal="right" vertical="center"/>
    </xf>
    <xf numFmtId="4" fontId="37" fillId="2" borderId="29" xfId="112" applyNumberFormat="1" applyFont="1" applyFill="1" applyBorder="1" applyAlignment="1">
      <alignment horizontal="right" vertical="center"/>
    </xf>
    <xf numFmtId="4" fontId="37" fillId="2" borderId="84" xfId="112" applyNumberFormat="1" applyFont="1" applyFill="1" applyBorder="1" applyAlignment="1">
      <alignment horizontal="right" vertical="center"/>
    </xf>
    <xf numFmtId="4" fontId="37" fillId="2" borderId="5" xfId="112" applyNumberFormat="1" applyFont="1" applyFill="1" applyBorder="1" applyAlignment="1">
      <alignment horizontal="right" vertical="center"/>
    </xf>
    <xf numFmtId="4" fontId="37" fillId="2" borderId="6" xfId="112" applyNumberFormat="1" applyFont="1" applyFill="1" applyBorder="1" applyAlignment="1">
      <alignment horizontal="right" vertical="center"/>
    </xf>
    <xf numFmtId="4" fontId="37" fillId="2" borderId="33" xfId="112" applyNumberFormat="1" applyFont="1" applyFill="1" applyBorder="1" applyAlignment="1">
      <alignment horizontal="right" vertical="center"/>
    </xf>
    <xf numFmtId="4" fontId="37" fillId="2" borderId="66" xfId="112" applyNumberFormat="1" applyFont="1" applyFill="1" applyBorder="1" applyAlignment="1">
      <alignment horizontal="right" vertical="center"/>
    </xf>
    <xf numFmtId="3" fontId="37" fillId="60" borderId="16" xfId="33" applyNumberFormat="1" applyFont="1" applyFill="1" applyBorder="1" applyAlignment="1" applyProtection="1">
      <alignment vertical="center"/>
      <protection locked="0"/>
    </xf>
    <xf numFmtId="3" fontId="37" fillId="60" borderId="14" xfId="112" applyNumberFormat="1" applyFont="1" applyFill="1" applyBorder="1" applyAlignment="1">
      <alignment vertical="center"/>
    </xf>
    <xf numFmtId="3" fontId="37" fillId="60" borderId="17" xfId="112" applyNumberFormat="1" applyFont="1" applyFill="1" applyBorder="1" applyAlignment="1">
      <alignment vertical="center"/>
    </xf>
    <xf numFmtId="3" fontId="37" fillId="60" borderId="28" xfId="33" applyNumberFormat="1" applyFont="1" applyFill="1" applyBorder="1" applyAlignment="1" applyProtection="1">
      <alignment vertical="center"/>
      <protection locked="0"/>
    </xf>
    <xf numFmtId="3" fontId="37" fillId="60" borderId="1" xfId="112" applyNumberFormat="1" applyFont="1" applyFill="1" applyBorder="1" applyAlignment="1">
      <alignment vertical="center"/>
    </xf>
    <xf numFmtId="3" fontId="37" fillId="60" borderId="29" xfId="112" applyNumberFormat="1" applyFont="1" applyFill="1" applyBorder="1" applyAlignment="1">
      <alignment vertical="center"/>
    </xf>
    <xf numFmtId="4" fontId="77" fillId="2" borderId="3" xfId="112" applyNumberFormat="1" applyFont="1" applyFill="1" applyBorder="1" applyAlignment="1">
      <alignment horizontal="right" vertical="center"/>
    </xf>
    <xf numFmtId="4" fontId="77" fillId="2" borderId="1" xfId="112" applyNumberFormat="1" applyFont="1" applyFill="1" applyBorder="1" applyAlignment="1">
      <alignment horizontal="right" vertical="center"/>
    </xf>
    <xf numFmtId="4" fontId="77" fillId="2" borderId="2" xfId="112" applyNumberFormat="1" applyFont="1" applyFill="1" applyBorder="1" applyAlignment="1">
      <alignment horizontal="right" vertical="center"/>
    </xf>
    <xf numFmtId="4" fontId="77" fillId="2" borderId="28" xfId="112" applyNumberFormat="1" applyFont="1" applyFill="1" applyBorder="1" applyAlignment="1">
      <alignment horizontal="right" vertical="center"/>
    </xf>
    <xf numFmtId="4" fontId="77" fillId="2" borderId="29" xfId="112" applyNumberFormat="1" applyFont="1" applyFill="1" applyBorder="1" applyAlignment="1">
      <alignment horizontal="right" vertical="center"/>
    </xf>
    <xf numFmtId="0" fontId="77" fillId="2" borderId="28" xfId="112" applyFont="1" applyFill="1" applyBorder="1"/>
    <xf numFmtId="0" fontId="77" fillId="2" borderId="1" xfId="112" applyFont="1" applyFill="1" applyBorder="1"/>
    <xf numFmtId="0" fontId="77" fillId="2" borderId="29" xfId="112" applyFont="1" applyFill="1" applyBorder="1"/>
    <xf numFmtId="3" fontId="37" fillId="60" borderId="33" xfId="33" applyNumberFormat="1" applyFont="1" applyFill="1" applyBorder="1" applyAlignment="1" applyProtection="1">
      <alignment vertical="center"/>
      <protection locked="0"/>
    </xf>
    <xf numFmtId="3" fontId="37" fillId="60" borderId="5" xfId="112" applyNumberFormat="1" applyFont="1" applyFill="1" applyBorder="1" applyAlignment="1">
      <alignment vertical="center"/>
    </xf>
    <xf numFmtId="3" fontId="37" fillId="60" borderId="66" xfId="112" applyNumberFormat="1" applyFont="1" applyFill="1" applyBorder="1" applyAlignment="1">
      <alignment vertical="center"/>
    </xf>
    <xf numFmtId="0" fontId="80" fillId="2" borderId="0" xfId="112" applyFont="1" applyFill="1" applyBorder="1" applyAlignment="1">
      <alignment vertical="center"/>
    </xf>
    <xf numFmtId="3" fontId="77" fillId="58" borderId="75" xfId="112" applyNumberFormat="1" applyFont="1" applyFill="1" applyBorder="1" applyAlignment="1">
      <alignment vertical="center"/>
    </xf>
    <xf numFmtId="0" fontId="76" fillId="2" borderId="15" xfId="112" applyFont="1" applyFill="1" applyBorder="1"/>
    <xf numFmtId="0" fontId="76" fillId="2" borderId="13" xfId="112" applyFont="1" applyFill="1" applyBorder="1"/>
    <xf numFmtId="0" fontId="76" fillId="2" borderId="2" xfId="112" applyFont="1" applyFill="1" applyBorder="1"/>
    <xf numFmtId="0" fontId="76" fillId="2" borderId="3" xfId="112" applyFont="1" applyFill="1" applyBorder="1"/>
    <xf numFmtId="0" fontId="76" fillId="2" borderId="84" xfId="112" applyFont="1" applyFill="1" applyBorder="1"/>
    <xf numFmtId="4" fontId="77" fillId="2" borderId="13" xfId="112" applyNumberFormat="1" applyFont="1" applyFill="1" applyBorder="1" applyAlignment="1">
      <alignment horizontal="right" vertical="center"/>
    </xf>
    <xf numFmtId="4" fontId="77" fillId="2" borderId="14" xfId="112" applyNumberFormat="1" applyFont="1" applyFill="1" applyBorder="1" applyAlignment="1">
      <alignment horizontal="right" vertical="center"/>
    </xf>
    <xf numFmtId="4" fontId="77" fillId="2" borderId="15" xfId="112" applyNumberFormat="1" applyFont="1" applyFill="1" applyBorder="1" applyAlignment="1">
      <alignment horizontal="right" vertical="center"/>
    </xf>
    <xf numFmtId="4" fontId="77" fillId="2" borderId="16" xfId="112" applyNumberFormat="1" applyFont="1" applyFill="1" applyBorder="1" applyAlignment="1">
      <alignment horizontal="right" vertical="center"/>
    </xf>
    <xf numFmtId="4" fontId="77" fillId="2" borderId="17" xfId="112" applyNumberFormat="1" applyFont="1" applyFill="1" applyBorder="1" applyAlignment="1">
      <alignment horizontal="right" vertical="center"/>
    </xf>
    <xf numFmtId="0" fontId="77" fillId="2" borderId="16" xfId="112" applyFont="1" applyFill="1" applyBorder="1"/>
    <xf numFmtId="0" fontId="77" fillId="2" borderId="14" xfId="112" applyFont="1" applyFill="1" applyBorder="1"/>
    <xf numFmtId="0" fontId="77" fillId="2" borderId="17" xfId="112" applyFont="1" applyFill="1" applyBorder="1"/>
    <xf numFmtId="3" fontId="10" fillId="2" borderId="1" xfId="33" applyNumberFormat="1" applyFont="1" applyFill="1" applyBorder="1" applyProtection="1">
      <alignment horizontal="right" vertical="center"/>
      <protection locked="0"/>
    </xf>
    <xf numFmtId="3" fontId="10" fillId="2" borderId="3" xfId="33" applyNumberFormat="1" applyFont="1" applyFill="1" applyBorder="1" applyAlignment="1" applyProtection="1">
      <alignment horizontal="right" vertical="center"/>
      <protection locked="0"/>
    </xf>
    <xf numFmtId="1" fontId="77" fillId="58" borderId="20" xfId="112" applyNumberFormat="1" applyFont="1" applyFill="1" applyBorder="1" applyAlignment="1">
      <alignment horizontal="center" vertical="center"/>
    </xf>
    <xf numFmtId="1" fontId="77" fillId="58" borderId="80" xfId="112" applyNumberFormat="1" applyFont="1" applyFill="1" applyBorder="1" applyAlignment="1">
      <alignment horizontal="center" vertical="center" wrapText="1"/>
    </xf>
    <xf numFmtId="0" fontId="77" fillId="58" borderId="80" xfId="112" applyFont="1" applyFill="1" applyBorder="1" applyAlignment="1">
      <alignment horizontal="center" vertical="center" wrapText="1"/>
    </xf>
    <xf numFmtId="0" fontId="77" fillId="58" borderId="76" xfId="112" applyFont="1" applyFill="1" applyBorder="1" applyAlignment="1">
      <alignment horizontal="center" vertical="center" wrapText="1"/>
    </xf>
    <xf numFmtId="4" fontId="77" fillId="58" borderId="32" xfId="112" applyNumberFormat="1" applyFont="1" applyFill="1" applyBorder="1" applyAlignment="1">
      <alignment horizontal="center" vertical="center"/>
    </xf>
    <xf numFmtId="3" fontId="77" fillId="58" borderId="20" xfId="33" applyNumberFormat="1" applyFont="1" applyFill="1" applyBorder="1" applyAlignment="1" applyProtection="1">
      <alignment vertical="center"/>
      <protection locked="0"/>
    </xf>
    <xf numFmtId="3" fontId="77" fillId="58" borderId="80" xfId="33" applyNumberFormat="1" applyFont="1" applyFill="1" applyBorder="1" applyAlignment="1" applyProtection="1">
      <alignment vertical="center"/>
      <protection locked="0"/>
    </xf>
    <xf numFmtId="3" fontId="77" fillId="58" borderId="79" xfId="33" applyNumberFormat="1" applyFont="1" applyFill="1" applyBorder="1" applyAlignment="1" applyProtection="1">
      <alignment vertical="center"/>
      <protection locked="0"/>
    </xf>
    <xf numFmtId="3" fontId="77" fillId="58" borderId="82" xfId="33" applyNumberFormat="1" applyFont="1" applyFill="1" applyBorder="1" applyAlignment="1" applyProtection="1">
      <alignment vertical="center"/>
      <protection locked="0"/>
    </xf>
    <xf numFmtId="3" fontId="77" fillId="58" borderId="76" xfId="33" applyNumberFormat="1" applyFont="1" applyFill="1" applyBorder="1" applyAlignment="1" applyProtection="1">
      <alignment vertical="center"/>
      <protection locked="0"/>
    </xf>
    <xf numFmtId="1" fontId="77" fillId="66" borderId="7" xfId="112" applyNumberFormat="1" applyFont="1" applyFill="1" applyBorder="1" applyAlignment="1">
      <alignment horizontal="center" vertical="center"/>
    </xf>
    <xf numFmtId="1" fontId="77" fillId="66" borderId="9" xfId="112" applyNumberFormat="1" applyFont="1" applyFill="1" applyBorder="1" applyAlignment="1">
      <alignment horizontal="center" vertical="center" wrapText="1"/>
    </xf>
    <xf numFmtId="0" fontId="77" fillId="66" borderId="9" xfId="112" applyFont="1" applyFill="1" applyBorder="1" applyAlignment="1">
      <alignment horizontal="center" vertical="center" wrapText="1"/>
    </xf>
    <xf numFmtId="0" fontId="77" fillId="66" borderId="10" xfId="112" applyFont="1" applyFill="1" applyBorder="1" applyAlignment="1">
      <alignment horizontal="center" vertical="center" wrapText="1"/>
    </xf>
    <xf numFmtId="4" fontId="77" fillId="66" borderId="11" xfId="112" applyNumberFormat="1" applyFont="1" applyFill="1" applyBorder="1" applyAlignment="1">
      <alignment horizontal="center" vertical="center"/>
    </xf>
    <xf numFmtId="3" fontId="77" fillId="66" borderId="7" xfId="112" applyNumberFormat="1" applyFont="1" applyFill="1" applyBorder="1" applyAlignment="1">
      <alignment vertical="center"/>
    </xf>
    <xf numFmtId="3" fontId="77" fillId="66" borderId="9" xfId="112" applyNumberFormat="1" applyFont="1" applyFill="1" applyBorder="1" applyAlignment="1">
      <alignment vertical="center"/>
    </xf>
    <xf numFmtId="3" fontId="77" fillId="66" borderId="55" xfId="112" applyNumberFormat="1" applyFont="1" applyFill="1" applyBorder="1" applyAlignment="1">
      <alignment vertical="center"/>
    </xf>
    <xf numFmtId="3" fontId="77" fillId="66" borderId="8" xfId="112" applyNumberFormat="1" applyFont="1" applyFill="1" applyBorder="1" applyAlignment="1">
      <alignment vertical="center"/>
    </xf>
    <xf numFmtId="3" fontId="77" fillId="66" borderId="10" xfId="112" applyNumberFormat="1" applyFont="1" applyFill="1" applyBorder="1" applyAlignment="1">
      <alignment vertical="center"/>
    </xf>
    <xf numFmtId="1" fontId="77" fillId="2" borderId="0" xfId="112" applyNumberFormat="1" applyFont="1" applyFill="1" applyBorder="1" applyAlignment="1">
      <alignment horizontal="center" vertical="center"/>
    </xf>
    <xf numFmtId="1" fontId="77" fillId="2" borderId="0" xfId="112" applyNumberFormat="1" applyFont="1" applyFill="1" applyBorder="1" applyAlignment="1">
      <alignment horizontal="center" vertical="center" wrapText="1"/>
    </xf>
    <xf numFmtId="0" fontId="77" fillId="2" borderId="0" xfId="112" applyFont="1" applyFill="1" applyBorder="1" applyAlignment="1">
      <alignment horizontal="center" vertical="center" wrapText="1"/>
    </xf>
    <xf numFmtId="4" fontId="77" fillId="2" borderId="0" xfId="112" applyNumberFormat="1" applyFont="1" applyFill="1" applyBorder="1" applyAlignment="1">
      <alignment horizontal="center" vertical="center"/>
    </xf>
    <xf numFmtId="3" fontId="77" fillId="2" borderId="109" xfId="112" applyNumberFormat="1" applyFont="1" applyFill="1" applyBorder="1" applyAlignment="1">
      <alignment vertical="center"/>
    </xf>
    <xf numFmtId="3" fontId="77" fillId="2" borderId="51" xfId="112" applyNumberFormat="1" applyFont="1" applyFill="1" applyBorder="1" applyAlignment="1">
      <alignment vertical="center"/>
    </xf>
    <xf numFmtId="3" fontId="68" fillId="59" borderId="7" xfId="112" applyNumberFormat="1" applyFont="1" applyFill="1" applyBorder="1" applyAlignment="1">
      <alignment horizontal="center" vertical="center"/>
    </xf>
    <xf numFmtId="3" fontId="68" fillId="59" borderId="9" xfId="112" applyNumberFormat="1" applyFont="1" applyFill="1" applyBorder="1" applyAlignment="1">
      <alignment horizontal="center" vertical="center" wrapText="1"/>
    </xf>
    <xf numFmtId="3" fontId="68" fillId="59" borderId="55" xfId="112" applyNumberFormat="1" applyFont="1" applyFill="1" applyBorder="1" applyAlignment="1">
      <alignment horizontal="center" vertical="center" wrapText="1"/>
    </xf>
    <xf numFmtId="3" fontId="68" fillId="59" borderId="8" xfId="112" applyNumberFormat="1" applyFont="1" applyFill="1" applyBorder="1" applyAlignment="1">
      <alignment horizontal="center" vertical="center"/>
    </xf>
    <xf numFmtId="3" fontId="68" fillId="59" borderId="10" xfId="112" applyNumberFormat="1" applyFont="1" applyFill="1" applyBorder="1" applyAlignment="1">
      <alignment horizontal="center" vertical="center" wrapText="1"/>
    </xf>
    <xf numFmtId="3" fontId="68" fillId="24" borderId="7" xfId="112" applyNumberFormat="1" applyFont="1" applyFill="1" applyBorder="1" applyAlignment="1">
      <alignment horizontal="center" vertical="center"/>
    </xf>
    <xf numFmtId="3" fontId="68" fillId="24" borderId="9" xfId="112" applyNumberFormat="1" applyFont="1" applyFill="1" applyBorder="1" applyAlignment="1">
      <alignment horizontal="center" vertical="center" wrapText="1"/>
    </xf>
    <xf numFmtId="3" fontId="68" fillId="24" borderId="55" xfId="112" applyNumberFormat="1" applyFont="1" applyFill="1" applyBorder="1" applyAlignment="1">
      <alignment horizontal="center" vertical="center" wrapText="1"/>
    </xf>
    <xf numFmtId="1" fontId="77" fillId="58" borderId="16" xfId="112" applyNumberFormat="1" applyFont="1" applyFill="1" applyBorder="1" applyAlignment="1">
      <alignment horizontal="center" vertical="center"/>
    </xf>
    <xf numFmtId="0" fontId="77" fillId="58" borderId="14" xfId="112" applyFont="1" applyFill="1" applyBorder="1" applyAlignment="1">
      <alignment horizontal="center" vertical="center" wrapText="1"/>
    </xf>
    <xf numFmtId="1" fontId="77" fillId="58" borderId="14" xfId="112" applyNumberFormat="1" applyFont="1" applyFill="1" applyBorder="1" applyAlignment="1">
      <alignment horizontal="center" vertical="center" wrapText="1"/>
    </xf>
    <xf numFmtId="0" fontId="77" fillId="58" borderId="15" xfId="112" applyFont="1" applyFill="1" applyBorder="1" applyAlignment="1">
      <alignment horizontal="center" vertical="center" wrapText="1"/>
    </xf>
    <xf numFmtId="4" fontId="77" fillId="58" borderId="12" xfId="112" applyNumberFormat="1" applyFont="1" applyFill="1" applyBorder="1" applyAlignment="1">
      <alignment horizontal="center" vertical="center"/>
    </xf>
    <xf numFmtId="4" fontId="77" fillId="58" borderId="16" xfId="33" applyNumberFormat="1" applyFont="1" applyFill="1" applyBorder="1" applyAlignment="1" applyProtection="1">
      <alignment horizontal="right" vertical="center"/>
      <protection locked="0"/>
    </xf>
    <xf numFmtId="4" fontId="77" fillId="58" borderId="14" xfId="112" applyNumberFormat="1" applyFont="1" applyFill="1" applyBorder="1" applyAlignment="1">
      <alignment horizontal="right" vertical="center"/>
    </xf>
    <xf numFmtId="4" fontId="77" fillId="58" borderId="17" xfId="112" applyNumberFormat="1" applyFont="1" applyFill="1" applyBorder="1" applyAlignment="1">
      <alignment horizontal="right" vertical="center"/>
    </xf>
    <xf numFmtId="4" fontId="78" fillId="58" borderId="13" xfId="112" applyNumberFormat="1" applyFont="1" applyFill="1" applyBorder="1" applyAlignment="1">
      <alignment horizontal="right" vertical="center"/>
    </xf>
    <xf numFmtId="4" fontId="78" fillId="58" borderId="14" xfId="112" applyNumberFormat="1" applyFont="1" applyFill="1" applyBorder="1" applyAlignment="1">
      <alignment horizontal="right" vertical="center"/>
    </xf>
    <xf numFmtId="4" fontId="78" fillId="58" borderId="15" xfId="112" applyNumberFormat="1" applyFont="1" applyFill="1" applyBorder="1" applyAlignment="1">
      <alignment horizontal="right" vertical="center"/>
    </xf>
    <xf numFmtId="4" fontId="78" fillId="58" borderId="16" xfId="112" applyNumberFormat="1" applyFont="1" applyFill="1" applyBorder="1" applyAlignment="1">
      <alignment horizontal="right" vertical="center"/>
    </xf>
    <xf numFmtId="4" fontId="78" fillId="58" borderId="17" xfId="112" applyNumberFormat="1" applyFont="1" applyFill="1" applyBorder="1" applyAlignment="1">
      <alignment horizontal="right" vertical="center"/>
    </xf>
    <xf numFmtId="4" fontId="78" fillId="58" borderId="60" xfId="112" applyNumberFormat="1" applyFont="1" applyFill="1" applyBorder="1" applyAlignment="1">
      <alignment horizontal="right" vertical="center"/>
    </xf>
    <xf numFmtId="4" fontId="78" fillId="58" borderId="81" xfId="112" applyNumberFormat="1" applyFont="1" applyFill="1" applyBorder="1" applyAlignment="1">
      <alignment horizontal="right" vertical="center"/>
    </xf>
    <xf numFmtId="4" fontId="78" fillId="58" borderId="61" xfId="112" applyNumberFormat="1" applyFont="1" applyFill="1" applyBorder="1" applyAlignment="1">
      <alignment horizontal="right" vertical="center"/>
    </xf>
    <xf numFmtId="4" fontId="78" fillId="58" borderId="22" xfId="112" applyNumberFormat="1" applyFont="1" applyFill="1" applyBorder="1" applyAlignment="1">
      <alignment horizontal="right" vertical="center"/>
    </xf>
    <xf numFmtId="4" fontId="78" fillId="58" borderId="21" xfId="112" applyNumberFormat="1" applyFont="1" applyFill="1" applyBorder="1" applyAlignment="1">
      <alignment horizontal="right" vertical="center"/>
    </xf>
    <xf numFmtId="0" fontId="78" fillId="2" borderId="0" xfId="112" applyFont="1" applyFill="1" applyBorder="1" applyAlignment="1">
      <alignment horizontal="right" vertical="center"/>
    </xf>
    <xf numFmtId="1" fontId="77" fillId="58" borderId="28" xfId="112" applyNumberFormat="1" applyFont="1" applyFill="1" applyBorder="1" applyAlignment="1">
      <alignment horizontal="center" vertical="center"/>
    </xf>
    <xf numFmtId="0" fontId="77" fillId="58" borderId="1" xfId="112" applyFont="1" applyFill="1" applyBorder="1" applyAlignment="1">
      <alignment horizontal="center" vertical="center" wrapText="1"/>
    </xf>
    <xf numFmtId="1" fontId="77" fillId="58" borderId="1" xfId="112" applyNumberFormat="1" applyFont="1" applyFill="1" applyBorder="1" applyAlignment="1">
      <alignment horizontal="center" vertical="center" wrapText="1"/>
    </xf>
    <xf numFmtId="0" fontId="77" fillId="58" borderId="2" xfId="112" applyFont="1" applyFill="1" applyBorder="1" applyAlignment="1">
      <alignment horizontal="center" vertical="center" wrapText="1"/>
    </xf>
    <xf numFmtId="4" fontId="77" fillId="58" borderId="18" xfId="112" applyNumberFormat="1" applyFont="1" applyFill="1" applyBorder="1" applyAlignment="1">
      <alignment horizontal="center" vertical="center"/>
    </xf>
    <xf numFmtId="4" fontId="77" fillId="58" borderId="28" xfId="33" applyNumberFormat="1" applyFont="1" applyFill="1" applyBorder="1" applyAlignment="1" applyProtection="1">
      <alignment horizontal="right" vertical="center"/>
      <protection locked="0"/>
    </xf>
    <xf numFmtId="4" fontId="77" fillId="58" borderId="1" xfId="112" applyNumberFormat="1" applyFont="1" applyFill="1" applyBorder="1" applyAlignment="1">
      <alignment horizontal="right" vertical="center"/>
    </xf>
    <xf numFmtId="4" fontId="77" fillId="58" borderId="29" xfId="112" applyNumberFormat="1" applyFont="1" applyFill="1" applyBorder="1" applyAlignment="1">
      <alignment horizontal="right" vertical="center"/>
    </xf>
    <xf numFmtId="4" fontId="77" fillId="58" borderId="3" xfId="112" applyNumberFormat="1" applyFont="1" applyFill="1" applyBorder="1" applyAlignment="1">
      <alignment horizontal="right" vertical="center"/>
    </xf>
    <xf numFmtId="4" fontId="78" fillId="58" borderId="1" xfId="112" applyNumberFormat="1" applyFont="1" applyFill="1" applyBorder="1" applyAlignment="1">
      <alignment horizontal="right" vertical="center"/>
    </xf>
    <xf numFmtId="4" fontId="78" fillId="58" borderId="2" xfId="112" applyNumberFormat="1" applyFont="1" applyFill="1" applyBorder="1" applyAlignment="1">
      <alignment horizontal="right" vertical="center"/>
    </xf>
    <xf numFmtId="4" fontId="78" fillId="58" borderId="28" xfId="112" applyNumberFormat="1" applyFont="1" applyFill="1" applyBorder="1" applyAlignment="1">
      <alignment horizontal="right" vertical="center"/>
    </xf>
    <xf numFmtId="4" fontId="78" fillId="58" borderId="29" xfId="112" applyNumberFormat="1" applyFont="1" applyFill="1" applyBorder="1" applyAlignment="1">
      <alignment horizontal="right" vertical="center"/>
    </xf>
    <xf numFmtId="4" fontId="78" fillId="58" borderId="3" xfId="112" applyNumberFormat="1" applyFont="1" applyFill="1" applyBorder="1" applyAlignment="1">
      <alignment horizontal="right" vertical="center"/>
    </xf>
    <xf numFmtId="4" fontId="77" fillId="58" borderId="28" xfId="112" applyNumberFormat="1" applyFont="1" applyFill="1" applyBorder="1" applyAlignment="1">
      <alignment horizontal="right" vertical="center"/>
    </xf>
    <xf numFmtId="4" fontId="37" fillId="61" borderId="28" xfId="33" applyNumberFormat="1" applyFont="1" applyFill="1" applyBorder="1" applyAlignment="1" applyProtection="1">
      <alignment horizontal="right" vertical="center"/>
      <protection locked="0"/>
    </xf>
    <xf numFmtId="4" fontId="37" fillId="61" borderId="1" xfId="112" applyNumberFormat="1" applyFont="1" applyFill="1" applyBorder="1" applyAlignment="1">
      <alignment horizontal="right" vertical="center"/>
    </xf>
    <xf numFmtId="4" fontId="37" fillId="61" borderId="29" xfId="112" applyNumberFormat="1" applyFont="1" applyFill="1" applyBorder="1" applyAlignment="1">
      <alignment horizontal="right" vertical="center"/>
    </xf>
    <xf numFmtId="4" fontId="76" fillId="65" borderId="28" xfId="112" applyNumberFormat="1" applyFont="1" applyFill="1" applyBorder="1" applyAlignment="1">
      <alignment horizontal="right" vertical="center"/>
    </xf>
    <xf numFmtId="4" fontId="76" fillId="65" borderId="1" xfId="112" applyNumberFormat="1" applyFont="1" applyFill="1" applyBorder="1" applyAlignment="1">
      <alignment horizontal="right" vertical="center"/>
    </xf>
    <xf numFmtId="4" fontId="76" fillId="65" borderId="2" xfId="112" applyNumberFormat="1" applyFont="1" applyFill="1" applyBorder="1" applyAlignment="1">
      <alignment horizontal="right" vertical="center"/>
    </xf>
    <xf numFmtId="0" fontId="76" fillId="2" borderId="0" xfId="112" applyFont="1" applyFill="1" applyBorder="1" applyAlignment="1">
      <alignment horizontal="right" vertical="center"/>
    </xf>
    <xf numFmtId="4" fontId="77" fillId="58" borderId="2" xfId="112" applyNumberFormat="1" applyFont="1" applyFill="1" applyBorder="1" applyAlignment="1">
      <alignment horizontal="right" vertical="center"/>
    </xf>
    <xf numFmtId="4" fontId="37" fillId="2" borderId="2" xfId="112" applyNumberFormat="1" applyFont="1" applyFill="1" applyBorder="1" applyAlignment="1">
      <alignment horizontal="right" vertical="center" wrapText="1"/>
    </xf>
    <xf numFmtId="4" fontId="37" fillId="2" borderId="28" xfId="112" applyNumberFormat="1" applyFont="1" applyFill="1" applyBorder="1" applyAlignment="1">
      <alignment horizontal="right" vertical="center" wrapText="1"/>
    </xf>
    <xf numFmtId="4" fontId="37" fillId="2" borderId="1" xfId="112" applyNumberFormat="1" applyFont="1" applyFill="1" applyBorder="1" applyAlignment="1">
      <alignment horizontal="right" vertical="center" wrapText="1"/>
    </xf>
    <xf numFmtId="0" fontId="37" fillId="2" borderId="0" xfId="112" applyFont="1" applyFill="1" applyBorder="1" applyAlignment="1">
      <alignment horizontal="right" vertical="center"/>
    </xf>
    <xf numFmtId="0" fontId="77" fillId="2" borderId="0" xfId="112" applyFont="1" applyFill="1" applyBorder="1" applyAlignment="1">
      <alignment horizontal="right" vertical="center"/>
    </xf>
    <xf numFmtId="1" fontId="77" fillId="58" borderId="2" xfId="112" applyNumberFormat="1" applyFont="1" applyFill="1" applyBorder="1" applyAlignment="1">
      <alignment horizontal="center" vertical="center" wrapText="1"/>
    </xf>
    <xf numFmtId="4" fontId="78" fillId="2" borderId="3" xfId="112" applyNumberFormat="1" applyFont="1" applyFill="1" applyBorder="1" applyAlignment="1">
      <alignment horizontal="right" vertical="center"/>
    </xf>
    <xf numFmtId="4" fontId="78" fillId="2" borderId="1" xfId="112" applyNumberFormat="1" applyFont="1" applyFill="1" applyBorder="1" applyAlignment="1">
      <alignment horizontal="right" vertical="center"/>
    </xf>
    <xf numFmtId="4" fontId="78" fillId="2" borderId="2" xfId="112" applyNumberFormat="1" applyFont="1" applyFill="1" applyBorder="1" applyAlignment="1">
      <alignment horizontal="right" vertical="center"/>
    </xf>
    <xf numFmtId="4" fontId="78" fillId="2" borderId="28" xfId="112" applyNumberFormat="1" applyFont="1" applyFill="1" applyBorder="1" applyAlignment="1">
      <alignment horizontal="right" vertical="center"/>
    </xf>
    <xf numFmtId="4" fontId="78" fillId="2" borderId="29" xfId="112" applyNumberFormat="1" applyFont="1" applyFill="1" applyBorder="1" applyAlignment="1">
      <alignment horizontal="right" vertical="center"/>
    </xf>
    <xf numFmtId="4" fontId="78" fillId="24" borderId="28" xfId="112" applyNumberFormat="1" applyFont="1" applyFill="1" applyBorder="1" applyAlignment="1">
      <alignment horizontal="right" vertical="center"/>
    </xf>
    <xf numFmtId="4" fontId="78" fillId="24" borderId="1" xfId="112" applyNumberFormat="1" applyFont="1" applyFill="1" applyBorder="1" applyAlignment="1">
      <alignment horizontal="right" vertical="center"/>
    </xf>
    <xf numFmtId="4" fontId="78" fillId="24" borderId="29" xfId="112" applyNumberFormat="1" applyFont="1" applyFill="1" applyBorder="1" applyAlignment="1">
      <alignment horizontal="right" vertical="center"/>
    </xf>
    <xf numFmtId="0" fontId="37" fillId="2" borderId="1" xfId="113" applyFont="1" applyFill="1" applyBorder="1" applyAlignment="1" applyProtection="1">
      <alignment horizontal="center" vertical="center" wrapText="1"/>
    </xf>
    <xf numFmtId="4" fontId="77" fillId="2" borderId="18" xfId="112" applyNumberFormat="1" applyFont="1" applyFill="1" applyBorder="1" applyAlignment="1">
      <alignment horizontal="center" vertical="center"/>
    </xf>
    <xf numFmtId="4" fontId="76" fillId="67" borderId="28" xfId="112" applyNumberFormat="1" applyFont="1" applyFill="1" applyBorder="1" applyAlignment="1">
      <alignment horizontal="right" vertical="center"/>
    </xf>
    <xf numFmtId="4" fontId="76" fillId="67" borderId="1" xfId="112" applyNumberFormat="1" applyFont="1" applyFill="1" applyBorder="1" applyAlignment="1">
      <alignment horizontal="right" vertical="center"/>
    </xf>
    <xf numFmtId="4" fontId="76" fillId="67" borderId="2" xfId="112" applyNumberFormat="1" applyFont="1" applyFill="1" applyBorder="1" applyAlignment="1">
      <alignment horizontal="right" vertical="center"/>
    </xf>
    <xf numFmtId="0" fontId="77" fillId="58" borderId="1" xfId="113" applyFont="1" applyFill="1" applyBorder="1" applyAlignment="1" applyProtection="1">
      <alignment horizontal="center" vertical="center" wrapText="1"/>
    </xf>
    <xf numFmtId="4" fontId="37" fillId="60" borderId="28" xfId="33" applyNumberFormat="1" applyFont="1" applyFill="1" applyBorder="1" applyAlignment="1" applyProtection="1">
      <alignment horizontal="right" vertical="center"/>
      <protection locked="0"/>
    </xf>
    <xf numFmtId="4" fontId="74" fillId="63" borderId="28" xfId="112" applyNumberFormat="1" applyFont="1" applyFill="1" applyBorder="1" applyAlignment="1">
      <alignment horizontal="right" vertical="center"/>
    </xf>
    <xf numFmtId="4" fontId="37" fillId="60" borderId="1" xfId="112" applyNumberFormat="1" applyFont="1" applyFill="1" applyBorder="1" applyAlignment="1">
      <alignment horizontal="right" vertical="center"/>
    </xf>
    <xf numFmtId="1" fontId="77" fillId="58" borderId="33" xfId="112" applyNumberFormat="1" applyFont="1" applyFill="1" applyBorder="1" applyAlignment="1">
      <alignment horizontal="center" vertical="center"/>
    </xf>
    <xf numFmtId="0" fontId="77" fillId="58" borderId="5" xfId="112" applyFont="1" applyFill="1" applyBorder="1" applyAlignment="1">
      <alignment horizontal="center" vertical="center" wrapText="1"/>
    </xf>
    <xf numFmtId="1" fontId="77" fillId="58" borderId="5" xfId="112" applyNumberFormat="1" applyFont="1" applyFill="1" applyBorder="1" applyAlignment="1">
      <alignment horizontal="center" vertical="center" wrapText="1"/>
    </xf>
    <xf numFmtId="0" fontId="77" fillId="58" borderId="6" xfId="112" applyFont="1" applyFill="1" applyBorder="1" applyAlignment="1">
      <alignment horizontal="center" vertical="center" wrapText="1"/>
    </xf>
    <xf numFmtId="4" fontId="77" fillId="58" borderId="83" xfId="112" applyNumberFormat="1" applyFont="1" applyFill="1" applyBorder="1" applyAlignment="1">
      <alignment horizontal="center" vertical="center"/>
    </xf>
    <xf numFmtId="4" fontId="77" fillId="58" borderId="33" xfId="112" applyNumberFormat="1" applyFont="1" applyFill="1" applyBorder="1" applyAlignment="1">
      <alignment horizontal="right" vertical="center"/>
    </xf>
    <xf numFmtId="4" fontId="77" fillId="58" borderId="5" xfId="112" applyNumberFormat="1" applyFont="1" applyFill="1" applyBorder="1" applyAlignment="1">
      <alignment horizontal="right" vertical="center"/>
    </xf>
    <xf numFmtId="4" fontId="77" fillId="58" borderId="66" xfId="112" applyNumberFormat="1" applyFont="1" applyFill="1" applyBorder="1" applyAlignment="1">
      <alignment horizontal="right" vertical="center"/>
    </xf>
    <xf numFmtId="4" fontId="77" fillId="58" borderId="84" xfId="112" applyNumberFormat="1" applyFont="1" applyFill="1" applyBorder="1" applyAlignment="1">
      <alignment horizontal="right" vertical="center"/>
    </xf>
    <xf numFmtId="4" fontId="77" fillId="58" borderId="6" xfId="112" applyNumberFormat="1" applyFont="1" applyFill="1" applyBorder="1" applyAlignment="1">
      <alignment horizontal="right" vertical="center"/>
    </xf>
    <xf numFmtId="4" fontId="77" fillId="66" borderId="7" xfId="112" applyNumberFormat="1" applyFont="1" applyFill="1" applyBorder="1" applyAlignment="1">
      <alignment horizontal="right" vertical="center"/>
    </xf>
    <xf numFmtId="4" fontId="77" fillId="66" borderId="9" xfId="112" applyNumberFormat="1" applyFont="1" applyFill="1" applyBorder="1" applyAlignment="1">
      <alignment horizontal="right" vertical="center"/>
    </xf>
    <xf numFmtId="4" fontId="77" fillId="66" borderId="55" xfId="112" applyNumberFormat="1" applyFont="1" applyFill="1" applyBorder="1" applyAlignment="1">
      <alignment horizontal="right" vertical="center"/>
    </xf>
    <xf numFmtId="4" fontId="77" fillId="66" borderId="8" xfId="112" applyNumberFormat="1" applyFont="1" applyFill="1" applyBorder="1" applyAlignment="1">
      <alignment horizontal="right" vertical="center"/>
    </xf>
    <xf numFmtId="4" fontId="77" fillId="66" borderId="10" xfId="112" applyNumberFormat="1" applyFont="1" applyFill="1" applyBorder="1" applyAlignment="1">
      <alignment horizontal="right" vertical="center"/>
    </xf>
    <xf numFmtId="0" fontId="76" fillId="2" borderId="72" xfId="112" applyFont="1" applyFill="1" applyBorder="1"/>
    <xf numFmtId="0" fontId="76" fillId="2" borderId="30" xfId="112" applyFont="1" applyFill="1" applyBorder="1"/>
    <xf numFmtId="0" fontId="76" fillId="2" borderId="75" xfId="112" applyFont="1" applyFill="1" applyBorder="1"/>
    <xf numFmtId="0" fontId="76" fillId="2" borderId="38" xfId="112" applyFont="1" applyFill="1" applyBorder="1"/>
    <xf numFmtId="0" fontId="76" fillId="24" borderId="37" xfId="112" applyFont="1" applyFill="1" applyBorder="1"/>
    <xf numFmtId="0" fontId="76" fillId="24" borderId="38" xfId="112" applyFont="1" applyFill="1" applyBorder="1"/>
    <xf numFmtId="0" fontId="76" fillId="24" borderId="39" xfId="112" applyFont="1" applyFill="1" applyBorder="1"/>
    <xf numFmtId="0" fontId="76" fillId="65" borderId="72" xfId="112" applyFont="1" applyFill="1" applyBorder="1"/>
    <xf numFmtId="4" fontId="77" fillId="2" borderId="16" xfId="112" applyNumberFormat="1" applyFont="1" applyFill="1" applyBorder="1" applyAlignment="1">
      <alignment horizontal="center" vertical="center"/>
    </xf>
    <xf numFmtId="1" fontId="77" fillId="2" borderId="14" xfId="112" applyNumberFormat="1" applyFont="1" applyFill="1" applyBorder="1" applyAlignment="1">
      <alignment horizontal="center" vertical="center" wrapText="1"/>
    </xf>
    <xf numFmtId="4" fontId="77" fillId="2" borderId="14" xfId="112" applyNumberFormat="1" applyFont="1" applyFill="1" applyBorder="1" applyAlignment="1">
      <alignment horizontal="center" vertical="center" wrapText="1"/>
    </xf>
    <xf numFmtId="4" fontId="77" fillId="2" borderId="15" xfId="112" applyNumberFormat="1" applyFont="1" applyFill="1" applyBorder="1" applyAlignment="1">
      <alignment horizontal="center" vertical="center"/>
    </xf>
    <xf numFmtId="4" fontId="77" fillId="2" borderId="111" xfId="112" applyNumberFormat="1" applyFont="1" applyFill="1" applyBorder="1" applyAlignment="1">
      <alignment vertical="center"/>
    </xf>
    <xf numFmtId="4" fontId="77" fillId="2" borderId="61" xfId="112" applyNumberFormat="1" applyFont="1" applyFill="1" applyBorder="1" applyAlignment="1">
      <alignment vertical="center"/>
    </xf>
    <xf numFmtId="4" fontId="77" fillId="2" borderId="22" xfId="112" applyNumberFormat="1" applyFont="1" applyFill="1" applyBorder="1" applyAlignment="1">
      <alignment vertical="center"/>
    </xf>
    <xf numFmtId="4" fontId="77" fillId="2" borderId="68" xfId="112" applyNumberFormat="1" applyFont="1" applyFill="1" applyBorder="1" applyAlignment="1">
      <alignment vertical="center"/>
    </xf>
    <xf numFmtId="4" fontId="77" fillId="2" borderId="15" xfId="112" applyNumberFormat="1" applyFont="1" applyFill="1" applyBorder="1" applyAlignment="1">
      <alignment vertical="center"/>
    </xf>
    <xf numFmtId="4" fontId="77" fillId="2" borderId="110" xfId="112" applyNumberFormat="1" applyFont="1" applyFill="1" applyBorder="1" applyAlignment="1">
      <alignment vertical="center"/>
    </xf>
    <xf numFmtId="4" fontId="77" fillId="2" borderId="17" xfId="112" applyNumberFormat="1" applyFont="1" applyFill="1" applyBorder="1" applyAlignment="1">
      <alignment vertical="center"/>
    </xf>
    <xf numFmtId="4" fontId="77" fillId="2" borderId="21" xfId="112" applyNumberFormat="1" applyFont="1" applyFill="1" applyBorder="1" applyAlignment="1">
      <alignment vertical="center"/>
    </xf>
    <xf numFmtId="4" fontId="77" fillId="2" borderId="81" xfId="112" applyNumberFormat="1" applyFont="1" applyFill="1" applyBorder="1" applyAlignment="1">
      <alignment vertical="center"/>
    </xf>
    <xf numFmtId="4" fontId="77" fillId="24" borderId="21" xfId="112" applyNumberFormat="1" applyFont="1" applyFill="1" applyBorder="1" applyAlignment="1">
      <alignment vertical="center"/>
    </xf>
    <xf numFmtId="4" fontId="77" fillId="24" borderId="81" xfId="112" applyNumberFormat="1" applyFont="1" applyFill="1" applyBorder="1" applyAlignment="1">
      <alignment vertical="center"/>
    </xf>
    <xf numFmtId="4" fontId="77" fillId="24" borderId="22" xfId="112" applyNumberFormat="1" applyFont="1" applyFill="1" applyBorder="1" applyAlignment="1">
      <alignment vertical="center"/>
    </xf>
    <xf numFmtId="4" fontId="77" fillId="65" borderId="68" xfId="112" applyNumberFormat="1" applyFont="1" applyFill="1" applyBorder="1" applyAlignment="1">
      <alignment vertical="center"/>
    </xf>
    <xf numFmtId="4" fontId="77" fillId="65" borderId="15" xfId="112" applyNumberFormat="1" applyFont="1" applyFill="1" applyBorder="1" applyAlignment="1">
      <alignment vertical="center"/>
    </xf>
    <xf numFmtId="4" fontId="76" fillId="2" borderId="0" xfId="112" applyNumberFormat="1" applyFont="1" applyFill="1" applyBorder="1"/>
    <xf numFmtId="4" fontId="77" fillId="2" borderId="28" xfId="112" applyNumberFormat="1" applyFont="1" applyFill="1" applyBorder="1" applyAlignment="1">
      <alignment horizontal="center" vertical="center"/>
    </xf>
    <xf numFmtId="1" fontId="77" fillId="2" borderId="1" xfId="112" applyNumberFormat="1" applyFont="1" applyFill="1" applyBorder="1" applyAlignment="1">
      <alignment horizontal="center" vertical="center" wrapText="1"/>
    </xf>
    <xf numFmtId="4" fontId="77" fillId="2" borderId="1" xfId="112" applyNumberFormat="1" applyFont="1" applyFill="1" applyBorder="1" applyAlignment="1">
      <alignment horizontal="center" vertical="center" wrapText="1"/>
    </xf>
    <xf numFmtId="4" fontId="77" fillId="2" borderId="2" xfId="112" applyNumberFormat="1" applyFont="1" applyFill="1" applyBorder="1" applyAlignment="1">
      <alignment horizontal="center" vertical="center"/>
    </xf>
    <xf numFmtId="4" fontId="77" fillId="2" borderId="28" xfId="112" applyNumberFormat="1" applyFont="1" applyFill="1" applyBorder="1" applyAlignment="1">
      <alignment vertical="center"/>
    </xf>
    <xf numFmtId="4" fontId="77" fillId="2" borderId="1" xfId="112" applyNumberFormat="1" applyFont="1" applyFill="1" applyBorder="1" applyAlignment="1">
      <alignment vertical="center"/>
    </xf>
    <xf numFmtId="4" fontId="77" fillId="2" borderId="112" xfId="112" applyNumberFormat="1" applyFont="1" applyFill="1" applyBorder="1" applyAlignment="1">
      <alignment vertical="center"/>
    </xf>
    <xf numFmtId="4" fontId="77" fillId="2" borderId="69" xfId="112" applyNumberFormat="1" applyFont="1" applyFill="1" applyBorder="1" applyAlignment="1">
      <alignment vertical="center"/>
    </xf>
    <xf numFmtId="4" fontId="77" fillId="2" borderId="2" xfId="112" applyNumberFormat="1" applyFont="1" applyFill="1" applyBorder="1" applyAlignment="1">
      <alignment vertical="center"/>
    </xf>
    <xf numFmtId="4" fontId="77" fillId="2" borderId="87" xfId="112" applyNumberFormat="1" applyFont="1" applyFill="1" applyBorder="1" applyAlignment="1">
      <alignment vertical="center"/>
    </xf>
    <xf numFmtId="4" fontId="77" fillId="2" borderId="29" xfId="112" applyNumberFormat="1" applyFont="1" applyFill="1" applyBorder="1" applyAlignment="1">
      <alignment vertical="center"/>
    </xf>
    <xf numFmtId="4" fontId="77" fillId="24" borderId="28" xfId="112" applyNumberFormat="1" applyFont="1" applyFill="1" applyBorder="1" applyAlignment="1">
      <alignment vertical="center"/>
    </xf>
    <xf numFmtId="4" fontId="77" fillId="24" borderId="1" xfId="112" applyNumberFormat="1" applyFont="1" applyFill="1" applyBorder="1" applyAlignment="1">
      <alignment vertical="center"/>
    </xf>
    <xf numFmtId="4" fontId="77" fillId="24" borderId="29" xfId="112" applyNumberFormat="1" applyFont="1" applyFill="1" applyBorder="1" applyAlignment="1">
      <alignment vertical="center"/>
    </xf>
    <xf numFmtId="4" fontId="77" fillId="65" borderId="69" xfId="112" applyNumberFormat="1" applyFont="1" applyFill="1" applyBorder="1" applyAlignment="1">
      <alignment vertical="center"/>
    </xf>
    <xf numFmtId="4" fontId="77" fillId="65" borderId="2" xfId="112" applyNumberFormat="1" applyFont="1" applyFill="1" applyBorder="1" applyAlignment="1">
      <alignment vertical="center"/>
    </xf>
    <xf numFmtId="4" fontId="76" fillId="65" borderId="3" xfId="112" applyNumberFormat="1" applyFont="1" applyFill="1" applyBorder="1" applyAlignment="1">
      <alignment horizontal="right" vertical="center"/>
    </xf>
    <xf numFmtId="4" fontId="77" fillId="2" borderId="33" xfId="112" applyNumberFormat="1" applyFont="1" applyFill="1" applyBorder="1" applyAlignment="1">
      <alignment horizontal="center" vertical="center"/>
    </xf>
    <xf numFmtId="1" fontId="77" fillId="2" borderId="5" xfId="112" applyNumberFormat="1" applyFont="1" applyFill="1" applyBorder="1" applyAlignment="1">
      <alignment horizontal="center" vertical="center" wrapText="1"/>
    </xf>
    <xf numFmtId="4" fontId="77" fillId="2" borderId="5" xfId="112" applyNumberFormat="1" applyFont="1" applyFill="1" applyBorder="1" applyAlignment="1">
      <alignment horizontal="center" vertical="center" wrapText="1"/>
    </xf>
    <xf numFmtId="4" fontId="77" fillId="2" borderId="6" xfId="112" applyNumberFormat="1" applyFont="1" applyFill="1" applyBorder="1" applyAlignment="1">
      <alignment horizontal="center" vertical="center"/>
    </xf>
    <xf numFmtId="4" fontId="77" fillId="2" borderId="33" xfId="112" applyNumberFormat="1" applyFont="1" applyFill="1" applyBorder="1" applyAlignment="1">
      <alignment vertical="center"/>
    </xf>
    <xf numFmtId="4" fontId="77" fillId="2" borderId="5" xfId="112" applyNumberFormat="1" applyFont="1" applyFill="1" applyBorder="1" applyAlignment="1">
      <alignment vertical="center"/>
    </xf>
    <xf numFmtId="4" fontId="77" fillId="2" borderId="113" xfId="112" applyNumberFormat="1" applyFont="1" applyFill="1" applyBorder="1" applyAlignment="1">
      <alignment vertical="center"/>
    </xf>
    <xf numFmtId="4" fontId="77" fillId="2" borderId="108" xfId="112" applyNumberFormat="1" applyFont="1" applyFill="1" applyBorder="1" applyAlignment="1">
      <alignment vertical="center"/>
    </xf>
    <xf numFmtId="4" fontId="77" fillId="2" borderId="6" xfId="112" applyNumberFormat="1" applyFont="1" applyFill="1" applyBorder="1" applyAlignment="1">
      <alignment vertical="center"/>
    </xf>
    <xf numFmtId="4" fontId="77" fillId="2" borderId="114" xfId="112" applyNumberFormat="1" applyFont="1" applyFill="1" applyBorder="1" applyAlignment="1">
      <alignment vertical="center"/>
    </xf>
    <xf numFmtId="4" fontId="77" fillId="2" borderId="66" xfId="112" applyNumberFormat="1" applyFont="1" applyFill="1" applyBorder="1" applyAlignment="1">
      <alignment vertical="center"/>
    </xf>
    <xf numFmtId="4" fontId="78" fillId="24" borderId="33" xfId="112" applyNumberFormat="1" applyFont="1" applyFill="1" applyBorder="1" applyAlignment="1">
      <alignment horizontal="right" vertical="center"/>
    </xf>
    <xf numFmtId="4" fontId="78" fillId="24" borderId="5" xfId="112" applyNumberFormat="1" applyFont="1" applyFill="1" applyBorder="1" applyAlignment="1">
      <alignment horizontal="right" vertical="center"/>
    </xf>
    <xf numFmtId="4" fontId="78" fillId="24" borderId="66" xfId="112" applyNumberFormat="1" applyFont="1" applyFill="1" applyBorder="1" applyAlignment="1">
      <alignment horizontal="right" vertical="center"/>
    </xf>
    <xf numFmtId="4" fontId="76" fillId="65" borderId="84" xfId="112" applyNumberFormat="1" applyFont="1" applyFill="1" applyBorder="1" applyAlignment="1">
      <alignment horizontal="right" vertical="center"/>
    </xf>
    <xf numFmtId="4" fontId="77" fillId="2" borderId="7" xfId="112" applyNumberFormat="1" applyFont="1" applyFill="1" applyBorder="1" applyAlignment="1">
      <alignment horizontal="center" vertical="center"/>
    </xf>
    <xf numFmtId="1" fontId="77" fillId="2" borderId="9" xfId="112" applyNumberFormat="1" applyFont="1" applyFill="1" applyBorder="1" applyAlignment="1">
      <alignment horizontal="center" vertical="center" wrapText="1"/>
    </xf>
    <xf numFmtId="4" fontId="77" fillId="2" borderId="9" xfId="112" applyNumberFormat="1" applyFont="1" applyFill="1" applyBorder="1" applyAlignment="1">
      <alignment horizontal="center" vertical="center" wrapText="1"/>
    </xf>
    <xf numFmtId="4" fontId="77" fillId="2" borderId="10" xfId="112" applyNumberFormat="1" applyFont="1" applyFill="1" applyBorder="1" applyAlignment="1">
      <alignment horizontal="center" vertical="center"/>
    </xf>
    <xf numFmtId="4" fontId="77" fillId="2" borderId="30" xfId="112" applyNumberFormat="1" applyFont="1" applyFill="1" applyBorder="1" applyAlignment="1">
      <alignment vertical="center"/>
    </xf>
    <xf numFmtId="4" fontId="77" fillId="2" borderId="10" xfId="112" applyNumberFormat="1" applyFont="1" applyFill="1" applyBorder="1" applyAlignment="1">
      <alignment vertical="center"/>
    </xf>
    <xf numFmtId="4" fontId="77" fillId="2" borderId="55" xfId="112" applyNumberFormat="1" applyFont="1" applyFill="1" applyBorder="1" applyAlignment="1">
      <alignment vertical="center"/>
    </xf>
    <xf numFmtId="4" fontId="77" fillId="2" borderId="72" xfId="112" applyNumberFormat="1" applyFont="1" applyFill="1" applyBorder="1" applyAlignment="1">
      <alignment vertical="center"/>
    </xf>
    <xf numFmtId="4" fontId="77" fillId="24" borderId="7" xfId="112" applyNumberFormat="1" applyFont="1" applyFill="1" applyBorder="1" applyAlignment="1">
      <alignment vertical="center"/>
    </xf>
    <xf numFmtId="4" fontId="77" fillId="24" borderId="9" xfId="112" applyNumberFormat="1" applyFont="1" applyFill="1" applyBorder="1" applyAlignment="1">
      <alignment vertical="center"/>
    </xf>
    <xf numFmtId="4" fontId="77" fillId="24" borderId="55" xfId="112" applyNumberFormat="1" applyFont="1" applyFill="1" applyBorder="1" applyAlignment="1">
      <alignment vertical="center"/>
    </xf>
    <xf numFmtId="4" fontId="77" fillId="65" borderId="72" xfId="112" applyNumberFormat="1" applyFont="1" applyFill="1" applyBorder="1" applyAlignment="1">
      <alignment vertical="center"/>
    </xf>
    <xf numFmtId="4" fontId="77" fillId="65" borderId="10" xfId="112" applyNumberFormat="1" applyFont="1" applyFill="1" applyBorder="1" applyAlignment="1">
      <alignment vertical="center"/>
    </xf>
    <xf numFmtId="1" fontId="81" fillId="2" borderId="0" xfId="112" applyNumberFormat="1" applyFont="1" applyFill="1" applyBorder="1" applyAlignment="1">
      <alignment horizontal="center" vertical="center" wrapText="1"/>
    </xf>
    <xf numFmtId="0" fontId="76" fillId="24" borderId="0" xfId="112" applyFont="1" applyFill="1" applyBorder="1"/>
    <xf numFmtId="1" fontId="37" fillId="2" borderId="0" xfId="112" applyNumberFormat="1" applyFont="1" applyFill="1" applyBorder="1" applyAlignment="1">
      <alignment horizontal="center" vertical="center"/>
    </xf>
    <xf numFmtId="1" fontId="37" fillId="14" borderId="16" xfId="0" applyNumberFormat="1" applyFont="1" applyFill="1" applyBorder="1" applyAlignment="1">
      <alignment horizontal="center" vertical="center"/>
    </xf>
    <xf numFmtId="0" fontId="37" fillId="14" borderId="14" xfId="0" applyFont="1" applyFill="1" applyBorder="1" applyAlignment="1">
      <alignment horizontal="center" vertical="center" wrapText="1"/>
    </xf>
    <xf numFmtId="1" fontId="37" fillId="14" borderId="14" xfId="0" applyNumberFormat="1" applyFont="1" applyFill="1" applyBorder="1" applyAlignment="1">
      <alignment horizontal="left" vertical="center" wrapText="1"/>
    </xf>
    <xf numFmtId="0" fontId="37" fillId="14" borderId="14" xfId="0" applyFont="1" applyFill="1" applyBorder="1" applyAlignment="1">
      <alignment horizontal="left" vertical="center" wrapText="1"/>
    </xf>
    <xf numFmtId="4" fontId="37" fillId="14" borderId="15" xfId="0" applyNumberFormat="1" applyFont="1" applyFill="1" applyBorder="1" applyAlignment="1">
      <alignment horizontal="center" vertical="center" wrapText="1"/>
    </xf>
    <xf numFmtId="4" fontId="37" fillId="14" borderId="2" xfId="0" applyNumberFormat="1" applyFont="1" applyFill="1" applyBorder="1" applyAlignment="1">
      <alignment horizontal="center" vertical="center" wrapText="1"/>
    </xf>
    <xf numFmtId="0" fontId="37" fillId="14" borderId="1" xfId="0" applyFont="1" applyFill="1" applyBorder="1" applyAlignment="1">
      <alignment horizontal="center" vertical="center" wrapText="1"/>
    </xf>
    <xf numFmtId="0" fontId="37" fillId="14" borderId="1" xfId="0" applyFont="1" applyFill="1" applyBorder="1" applyAlignment="1">
      <alignment horizontal="left" vertical="center" wrapText="1"/>
    </xf>
    <xf numFmtId="1" fontId="37" fillId="14" borderId="28" xfId="0" applyNumberFormat="1" applyFont="1" applyFill="1" applyBorder="1" applyAlignment="1">
      <alignment horizontal="center" vertical="center"/>
    </xf>
    <xf numFmtId="1" fontId="37" fillId="14" borderId="1" xfId="0" applyNumberFormat="1" applyFont="1" applyFill="1" applyBorder="1" applyAlignment="1">
      <alignment horizontal="left" vertical="center" wrapText="1"/>
    </xf>
    <xf numFmtId="0" fontId="37" fillId="14" borderId="5" xfId="0" applyFont="1" applyFill="1" applyBorder="1" applyAlignment="1">
      <alignment horizontal="center" vertical="center" wrapText="1"/>
    </xf>
    <xf numFmtId="0" fontId="37" fillId="14" borderId="5" xfId="0" applyFont="1" applyFill="1" applyBorder="1" applyAlignment="1">
      <alignment horizontal="left" vertical="center" wrapText="1"/>
    </xf>
    <xf numFmtId="1" fontId="37" fillId="14" borderId="5" xfId="0" applyNumberFormat="1" applyFont="1" applyFill="1" applyBorder="1" applyAlignment="1">
      <alignment horizontal="left" vertical="center" wrapText="1"/>
    </xf>
    <xf numFmtId="4" fontId="37" fillId="14" borderId="6" xfId="0" applyNumberFormat="1" applyFont="1" applyFill="1" applyBorder="1" applyAlignment="1">
      <alignment horizontal="center" vertical="center" wrapText="1"/>
    </xf>
    <xf numFmtId="4" fontId="37" fillId="14" borderId="15" xfId="0" applyNumberFormat="1" applyFont="1" applyFill="1" applyBorder="1" applyAlignment="1">
      <alignment horizontal="center" vertical="center"/>
    </xf>
    <xf numFmtId="4" fontId="37" fillId="14" borderId="2" xfId="0" applyNumberFormat="1" applyFont="1" applyFill="1" applyBorder="1" applyAlignment="1">
      <alignment horizontal="center" vertical="center"/>
    </xf>
    <xf numFmtId="0" fontId="28" fillId="2" borderId="0" xfId="20" applyFont="1" applyAlignment="1" applyProtection="1">
      <alignment vertical="center"/>
    </xf>
    <xf numFmtId="1" fontId="80" fillId="0" borderId="0" xfId="0" applyNumberFormat="1" applyFont="1" applyFill="1" applyBorder="1" applyAlignment="1">
      <alignment horizontal="left" vertical="center"/>
    </xf>
    <xf numFmtId="1" fontId="74" fillId="0" borderId="1" xfId="0" applyNumberFormat="1" applyFont="1" applyFill="1" applyBorder="1" applyAlignment="1">
      <alignment horizontal="center" vertical="center"/>
    </xf>
    <xf numFmtId="0" fontId="74" fillId="0" borderId="1" xfId="0" applyFont="1" applyFill="1" applyBorder="1" applyAlignment="1">
      <alignment horizontal="center" vertical="center" wrapText="1"/>
    </xf>
    <xf numFmtId="1" fontId="74" fillId="0" borderId="1" xfId="0" applyNumberFormat="1" applyFont="1" applyFill="1" applyBorder="1" applyAlignment="1">
      <alignment horizontal="left" vertical="center" wrapText="1"/>
    </xf>
    <xf numFmtId="0" fontId="74" fillId="0" borderId="1" xfId="0" applyFont="1" applyFill="1" applyBorder="1" applyAlignment="1">
      <alignment horizontal="left" vertical="center" wrapText="1"/>
    </xf>
    <xf numFmtId="4" fontId="74" fillId="0" borderId="1" xfId="0" applyNumberFormat="1" applyFont="1" applyFill="1" applyBorder="1" applyAlignment="1">
      <alignment horizontal="center" vertical="center"/>
    </xf>
    <xf numFmtId="3" fontId="80" fillId="0" borderId="1" xfId="0" applyNumberFormat="1" applyFont="1" applyFill="1" applyBorder="1" applyAlignment="1">
      <alignment vertical="center"/>
    </xf>
    <xf numFmtId="3" fontId="74" fillId="0" borderId="1" xfId="0" applyNumberFormat="1" applyFont="1" applyFill="1" applyBorder="1" applyAlignment="1">
      <alignment vertical="center"/>
    </xf>
    <xf numFmtId="1" fontId="74" fillId="14" borderId="1" xfId="0" applyNumberFormat="1" applyFont="1" applyFill="1" applyBorder="1" applyAlignment="1">
      <alignment horizontal="center" vertical="center"/>
    </xf>
    <xf numFmtId="1" fontId="74" fillId="0" borderId="14" xfId="0" applyNumberFormat="1" applyFont="1" applyFill="1" applyBorder="1" applyAlignment="1">
      <alignment horizontal="left" vertical="center" wrapText="1"/>
    </xf>
    <xf numFmtId="1" fontId="74" fillId="14" borderId="16" xfId="0" applyNumberFormat="1" applyFont="1" applyFill="1" applyBorder="1" applyAlignment="1">
      <alignment horizontal="center" vertical="center"/>
    </xf>
    <xf numFmtId="3" fontId="77" fillId="60" borderId="9" xfId="0" applyNumberFormat="1" applyFont="1" applyFill="1" applyBorder="1" applyAlignment="1">
      <alignment horizontal="right" vertical="center"/>
    </xf>
    <xf numFmtId="3" fontId="77" fillId="60" borderId="55" xfId="0" applyNumberFormat="1" applyFont="1" applyFill="1" applyBorder="1" applyAlignment="1">
      <alignment horizontal="right" vertical="center"/>
    </xf>
    <xf numFmtId="3" fontId="77" fillId="58" borderId="7" xfId="0" applyNumberFormat="1" applyFont="1" applyFill="1" applyBorder="1" applyAlignment="1">
      <alignment horizontal="right" vertical="center"/>
    </xf>
    <xf numFmtId="3" fontId="37" fillId="0" borderId="14" xfId="0" applyNumberFormat="1" applyFont="1" applyFill="1" applyBorder="1" applyAlignment="1">
      <alignment horizontal="right" vertical="center"/>
    </xf>
    <xf numFmtId="3" fontId="37" fillId="0" borderId="17" xfId="0" applyNumberFormat="1" applyFont="1" applyFill="1" applyBorder="1" applyAlignment="1">
      <alignment horizontal="right" vertical="center"/>
    </xf>
    <xf numFmtId="3" fontId="77" fillId="60" borderId="7" xfId="0" applyNumberFormat="1" applyFont="1" applyFill="1" applyBorder="1" applyAlignment="1">
      <alignment horizontal="right" vertical="center"/>
    </xf>
    <xf numFmtId="3" fontId="37" fillId="0" borderId="1" xfId="33" applyNumberFormat="1" applyFont="1" applyFill="1" applyBorder="1" applyAlignment="1" applyProtection="1">
      <alignment horizontal="right" vertical="center"/>
      <protection locked="0"/>
    </xf>
    <xf numFmtId="3" fontId="37" fillId="0" borderId="16" xfId="33" applyNumberFormat="1" applyFont="1" applyFill="1" applyBorder="1" applyAlignment="1" applyProtection="1">
      <alignment horizontal="right" vertical="center"/>
      <protection locked="0"/>
    </xf>
    <xf numFmtId="3" fontId="77" fillId="58" borderId="9" xfId="0" applyNumberFormat="1" applyFont="1" applyFill="1" applyBorder="1" applyAlignment="1">
      <alignment horizontal="right" vertical="center"/>
    </xf>
    <xf numFmtId="3" fontId="77" fillId="60" borderId="20" xfId="0" applyNumberFormat="1" applyFont="1" applyFill="1" applyBorder="1" applyAlignment="1">
      <alignment horizontal="right" vertical="center"/>
    </xf>
    <xf numFmtId="3" fontId="77" fillId="60" borderId="80" xfId="0" applyNumberFormat="1" applyFont="1" applyFill="1" applyBorder="1" applyAlignment="1">
      <alignment horizontal="right" vertical="center"/>
    </xf>
    <xf numFmtId="3" fontId="77" fillId="60" borderId="79" xfId="0" applyNumberFormat="1" applyFont="1" applyFill="1" applyBorder="1" applyAlignment="1">
      <alignment horizontal="right" vertical="center"/>
    </xf>
    <xf numFmtId="3" fontId="77" fillId="60" borderId="32" xfId="0" applyNumberFormat="1" applyFont="1" applyFill="1" applyBorder="1" applyAlignment="1">
      <alignment horizontal="right" vertical="center"/>
    </xf>
    <xf numFmtId="3" fontId="77" fillId="58" borderId="62" xfId="0" applyNumberFormat="1" applyFont="1" applyFill="1" applyBorder="1" applyAlignment="1">
      <alignment horizontal="right" vertical="center"/>
    </xf>
    <xf numFmtId="3" fontId="77" fillId="58" borderId="55" xfId="0" applyNumberFormat="1" applyFont="1" applyFill="1" applyBorder="1" applyAlignment="1">
      <alignment horizontal="right" vertical="center"/>
    </xf>
    <xf numFmtId="3" fontId="77" fillId="60" borderId="8" xfId="0" applyNumberFormat="1" applyFont="1" applyFill="1" applyBorder="1" applyAlignment="1">
      <alignment horizontal="right" vertical="center"/>
    </xf>
    <xf numFmtId="3" fontId="77" fillId="60" borderId="75" xfId="0" applyNumberFormat="1" applyFont="1" applyFill="1" applyBorder="1" applyAlignment="1">
      <alignment horizontal="right" vertical="center"/>
    </xf>
    <xf numFmtId="3" fontId="77" fillId="60" borderId="11" xfId="0" applyNumberFormat="1" applyFont="1" applyFill="1" applyBorder="1" applyAlignment="1">
      <alignment horizontal="right" vertical="center"/>
    </xf>
    <xf numFmtId="3" fontId="77" fillId="60" borderId="7" xfId="33" applyNumberFormat="1" applyFont="1" applyFill="1" applyBorder="1" applyAlignment="1" applyProtection="1">
      <alignment horizontal="right" vertical="center"/>
      <protection locked="0"/>
    </xf>
    <xf numFmtId="3" fontId="77" fillId="60" borderId="11" xfId="33" applyNumberFormat="1" applyFont="1" applyFill="1" applyBorder="1" applyAlignment="1" applyProtection="1">
      <alignment horizontal="right" vertical="center"/>
      <protection locked="0"/>
    </xf>
    <xf numFmtId="3" fontId="77" fillId="58" borderId="11" xfId="0" applyNumberFormat="1" applyFont="1" applyFill="1" applyBorder="1" applyAlignment="1">
      <alignment horizontal="right" vertical="center"/>
    </xf>
    <xf numFmtId="3" fontId="77" fillId="61" borderId="7" xfId="0" applyNumberFormat="1" applyFont="1" applyFill="1" applyBorder="1" applyAlignment="1">
      <alignment horizontal="right" vertical="center"/>
    </xf>
    <xf numFmtId="3" fontId="77" fillId="61" borderId="11" xfId="0" applyNumberFormat="1" applyFont="1" applyFill="1" applyBorder="1" applyAlignment="1">
      <alignment horizontal="right" vertical="center"/>
    </xf>
    <xf numFmtId="3" fontId="77" fillId="0" borderId="8" xfId="0" applyNumberFormat="1" applyFont="1" applyFill="1" applyBorder="1" applyAlignment="1">
      <alignment horizontal="right" vertical="center"/>
    </xf>
    <xf numFmtId="3" fontId="77" fillId="0" borderId="72" xfId="0" applyNumberFormat="1" applyFont="1" applyFill="1" applyBorder="1" applyAlignment="1">
      <alignment horizontal="right" vertical="center"/>
    </xf>
    <xf numFmtId="3" fontId="77" fillId="59" borderId="7" xfId="0" applyNumberFormat="1" applyFont="1" applyFill="1" applyBorder="1" applyAlignment="1">
      <alignment horizontal="right" vertical="center"/>
    </xf>
    <xf numFmtId="3" fontId="77" fillId="59" borderId="9" xfId="0" applyNumberFormat="1" applyFont="1" applyFill="1" applyBorder="1" applyAlignment="1">
      <alignment horizontal="right" vertical="center" wrapText="1"/>
    </xf>
    <xf numFmtId="3" fontId="77" fillId="59" borderId="55" xfId="0" applyNumberFormat="1" applyFont="1" applyFill="1" applyBorder="1" applyAlignment="1">
      <alignment horizontal="right" vertical="center" wrapText="1"/>
    </xf>
    <xf numFmtId="3" fontId="77" fillId="58" borderId="82" xfId="0" applyNumberFormat="1" applyFont="1" applyFill="1" applyBorder="1" applyAlignment="1">
      <alignment horizontal="right" vertical="center"/>
    </xf>
    <xf numFmtId="3" fontId="77" fillId="58" borderId="80" xfId="0" applyNumberFormat="1" applyFont="1" applyFill="1" applyBorder="1" applyAlignment="1">
      <alignment horizontal="right" vertical="center"/>
    </xf>
    <xf numFmtId="3" fontId="77" fillId="58" borderId="79" xfId="0" applyNumberFormat="1" applyFont="1" applyFill="1" applyBorder="1" applyAlignment="1">
      <alignment horizontal="right" vertical="center"/>
    </xf>
    <xf numFmtId="3" fontId="77" fillId="58" borderId="8" xfId="0" applyNumberFormat="1" applyFont="1" applyFill="1" applyBorder="1" applyAlignment="1">
      <alignment horizontal="right" vertical="center"/>
    </xf>
    <xf numFmtId="3" fontId="77" fillId="58" borderId="75" xfId="0" applyNumberFormat="1" applyFont="1" applyFill="1" applyBorder="1" applyAlignment="1">
      <alignment horizontal="right" vertical="center"/>
    </xf>
    <xf numFmtId="3" fontId="77" fillId="61" borderId="8" xfId="0" applyNumberFormat="1" applyFont="1" applyFill="1" applyBorder="1" applyAlignment="1">
      <alignment horizontal="right" vertical="center"/>
    </xf>
    <xf numFmtId="3" fontId="77" fillId="61" borderId="9" xfId="0" applyNumberFormat="1" applyFont="1" applyFill="1" applyBorder="1" applyAlignment="1">
      <alignment horizontal="right" vertical="center"/>
    </xf>
    <xf numFmtId="3" fontId="77" fillId="61" borderId="55" xfId="0" applyNumberFormat="1" applyFont="1" applyFill="1" applyBorder="1" applyAlignment="1">
      <alignment horizontal="right" vertical="center"/>
    </xf>
    <xf numFmtId="3" fontId="83" fillId="0" borderId="1" xfId="0" applyNumberFormat="1" applyFont="1" applyFill="1" applyBorder="1" applyAlignment="1">
      <alignment vertical="center"/>
    </xf>
    <xf numFmtId="3" fontId="84" fillId="2" borderId="1" xfId="113" applyNumberFormat="1" applyFont="1" applyFill="1" applyBorder="1" applyAlignment="1" applyProtection="1">
      <alignment vertical="center"/>
      <protection locked="0"/>
    </xf>
    <xf numFmtId="1" fontId="80" fillId="0" borderId="0" xfId="0" applyNumberFormat="1" applyFont="1" applyFill="1" applyBorder="1" applyAlignment="1">
      <alignment horizontal="left" vertical="center"/>
    </xf>
    <xf numFmtId="0" fontId="72" fillId="2" borderId="0" xfId="20" applyFont="1" applyAlignment="1" applyProtection="1">
      <alignment horizontal="left"/>
    </xf>
    <xf numFmtId="0" fontId="35" fillId="2" borderId="0" xfId="20" applyFont="1" applyAlignment="1" applyProtection="1">
      <alignment horizontal="center" vertical="center" wrapText="1"/>
    </xf>
    <xf numFmtId="0" fontId="31" fillId="2" borderId="0" xfId="20" applyFont="1" applyAlignment="1" applyProtection="1"/>
    <xf numFmtId="0" fontId="17" fillId="2" borderId="0" xfId="20" applyFont="1" applyAlignment="1" applyProtection="1">
      <alignment horizontal="center" vertical="center" wrapText="1"/>
    </xf>
    <xf numFmtId="1" fontId="81" fillId="0" borderId="0" xfId="0" applyNumberFormat="1" applyFont="1" applyFill="1" applyBorder="1" applyAlignment="1">
      <alignment horizontal="center" vertical="center" wrapText="1"/>
    </xf>
    <xf numFmtId="3" fontId="77" fillId="0" borderId="41" xfId="0" applyNumberFormat="1" applyFont="1" applyFill="1" applyBorder="1" applyAlignment="1">
      <alignment horizontal="center" vertical="center"/>
    </xf>
    <xf numFmtId="1" fontId="78" fillId="0" borderId="0" xfId="0" applyNumberFormat="1" applyFont="1" applyFill="1" applyBorder="1" applyAlignment="1">
      <alignment horizontal="center"/>
    </xf>
    <xf numFmtId="3" fontId="78" fillId="0" borderId="0" xfId="0" applyNumberFormat="1" applyFont="1" applyFill="1" applyBorder="1" applyAlignment="1">
      <alignment horizontal="center"/>
    </xf>
    <xf numFmtId="1" fontId="76" fillId="0" borderId="0" xfId="0" applyNumberFormat="1" applyFont="1" applyFill="1" applyBorder="1" applyAlignment="1">
      <alignment horizontal="left"/>
    </xf>
    <xf numFmtId="3" fontId="76" fillId="0" borderId="0" xfId="0" applyNumberFormat="1" applyFont="1" applyFill="1" applyBorder="1" applyAlignment="1">
      <alignment horizontal="left"/>
    </xf>
    <xf numFmtId="1" fontId="77" fillId="0" borderId="30" xfId="0" applyNumberFormat="1" applyFont="1" applyFill="1" applyBorder="1" applyAlignment="1">
      <alignment horizontal="center" vertical="center"/>
    </xf>
    <xf numFmtId="1" fontId="77" fillId="0" borderId="72" xfId="0" applyNumberFormat="1" applyFont="1" applyFill="1" applyBorder="1" applyAlignment="1">
      <alignment horizontal="center" vertical="center"/>
    </xf>
    <xf numFmtId="1" fontId="77" fillId="0" borderId="75" xfId="0" applyNumberFormat="1" applyFont="1" applyFill="1" applyBorder="1" applyAlignment="1">
      <alignment horizontal="center" vertical="center"/>
    </xf>
    <xf numFmtId="3" fontId="79" fillId="25" borderId="39" xfId="5" applyNumberFormat="1" applyFont="1" applyFill="1" applyBorder="1" applyAlignment="1" applyProtection="1">
      <alignment horizontal="center" vertical="center" wrapText="1"/>
    </xf>
    <xf numFmtId="3" fontId="79" fillId="25" borderId="51" xfId="5" applyNumberFormat="1" applyFont="1" applyFill="1" applyBorder="1" applyAlignment="1" applyProtection="1">
      <alignment horizontal="center" vertical="center" wrapText="1"/>
    </xf>
    <xf numFmtId="0" fontId="64" fillId="2" borderId="0" xfId="5" applyNumberFormat="1" applyFont="1" applyFill="1" applyBorder="1" applyAlignment="1" applyProtection="1">
      <alignment horizontal="center" vertical="center" wrapText="1"/>
    </xf>
    <xf numFmtId="1" fontId="66" fillId="12" borderId="48" xfId="5" applyNumberFormat="1" applyFont="1" applyFill="1" applyBorder="1" applyAlignment="1" applyProtection="1">
      <alignment horizontal="center" vertical="center" wrapText="1"/>
    </xf>
    <xf numFmtId="1" fontId="66" fillId="12" borderId="49" xfId="5" applyNumberFormat="1" applyFont="1" applyFill="1" applyBorder="1" applyAlignment="1" applyProtection="1">
      <alignment horizontal="center" vertical="center" wrapText="1"/>
    </xf>
    <xf numFmtId="1" fontId="66" fillId="12" borderId="53" xfId="5" applyNumberFormat="1" applyFont="1" applyFill="1" applyBorder="1" applyAlignment="1" applyProtection="1">
      <alignment horizontal="center" vertical="center" wrapText="1"/>
    </xf>
    <xf numFmtId="1" fontId="66" fillId="12" borderId="54" xfId="5" applyNumberFormat="1" applyFont="1" applyFill="1" applyBorder="1" applyAlignment="1" applyProtection="1">
      <alignment horizontal="center" vertical="center" wrapText="1"/>
    </xf>
    <xf numFmtId="0" fontId="79" fillId="12" borderId="90" xfId="5" applyFont="1" applyFill="1" applyBorder="1" applyAlignment="1" applyProtection="1">
      <alignment horizontal="center" vertical="center"/>
    </xf>
    <xf numFmtId="0" fontId="79" fillId="12" borderId="56" xfId="5" applyFont="1" applyFill="1" applyBorder="1" applyAlignment="1" applyProtection="1">
      <alignment horizontal="center" vertical="center"/>
    </xf>
    <xf numFmtId="0" fontId="79" fillId="12" borderId="57" xfId="5" applyFont="1" applyFill="1" applyBorder="1" applyAlignment="1" applyProtection="1">
      <alignment horizontal="center" vertical="center"/>
    </xf>
    <xf numFmtId="0" fontId="17" fillId="2" borderId="0" xfId="5" applyFont="1" applyBorder="1" applyAlignment="1" applyProtection="1">
      <alignment horizontal="center"/>
    </xf>
    <xf numFmtId="1" fontId="81" fillId="0" borderId="0" xfId="0" applyNumberFormat="1" applyFont="1" applyFill="1" applyBorder="1" applyAlignment="1">
      <alignment horizontal="left" vertical="center"/>
    </xf>
    <xf numFmtId="0" fontId="27" fillId="2" borderId="107" xfId="0" applyNumberFormat="1" applyFont="1" applyFill="1" applyBorder="1" applyAlignment="1" applyProtection="1">
      <alignment horizontal="center"/>
    </xf>
    <xf numFmtId="2" fontId="48" fillId="2" borderId="29" xfId="0" applyNumberFormat="1" applyFont="1" applyFill="1" applyBorder="1" applyAlignment="1">
      <alignment horizontal="center" vertical="center" wrapText="1"/>
    </xf>
    <xf numFmtId="2" fontId="48" fillId="2" borderId="25" xfId="0" applyNumberFormat="1" applyFont="1" applyFill="1" applyBorder="1" applyAlignment="1">
      <alignment horizontal="center" vertical="center" wrapText="1"/>
    </xf>
    <xf numFmtId="3" fontId="20" fillId="2" borderId="26" xfId="20" applyNumberFormat="1" applyFont="1" applyFill="1" applyBorder="1" applyAlignment="1">
      <alignment horizontal="center" vertical="center" wrapText="1"/>
    </xf>
    <xf numFmtId="3" fontId="20" fillId="2" borderId="19" xfId="20" applyNumberFormat="1" applyFont="1" applyFill="1" applyBorder="1" applyAlignment="1">
      <alignment horizontal="center" vertical="center" wrapText="1"/>
    </xf>
    <xf numFmtId="3" fontId="18" fillId="2" borderId="38" xfId="20" applyNumberFormat="1" applyFont="1" applyFill="1" applyBorder="1" applyAlignment="1">
      <alignment horizontal="center" vertical="center"/>
    </xf>
    <xf numFmtId="3" fontId="18" fillId="2" borderId="39" xfId="20" applyNumberFormat="1" applyFont="1" applyFill="1" applyBorder="1" applyAlignment="1">
      <alignment horizontal="center" vertical="center"/>
    </xf>
    <xf numFmtId="3" fontId="18" fillId="2" borderId="41" xfId="20" applyNumberFormat="1" applyFont="1" applyFill="1" applyBorder="1" applyAlignment="1">
      <alignment horizontal="center" vertical="center"/>
    </xf>
    <xf numFmtId="3" fontId="18" fillId="2" borderId="42" xfId="2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0" fontId="48" fillId="2" borderId="38" xfId="0" applyFont="1" applyFill="1" applyBorder="1" applyAlignment="1">
      <alignment horizontal="center" vertical="center"/>
    </xf>
    <xf numFmtId="0" fontId="48" fillId="2" borderId="40" xfId="0" applyFont="1" applyFill="1" applyBorder="1" applyAlignment="1">
      <alignment horizontal="center" vertical="center"/>
    </xf>
    <xf numFmtId="0" fontId="48" fillId="2" borderId="41" xfId="0" applyFont="1" applyFill="1" applyBorder="1" applyAlignment="1">
      <alignment horizontal="center" vertical="center"/>
    </xf>
    <xf numFmtId="3" fontId="18" fillId="2" borderId="61" xfId="20" applyNumberFormat="1" applyFont="1" applyFill="1" applyBorder="1" applyAlignment="1">
      <alignment horizontal="center" vertical="center" wrapText="1"/>
    </xf>
    <xf numFmtId="3" fontId="18" fillId="2" borderId="64" xfId="20" applyNumberFormat="1" applyFont="1" applyFill="1" applyBorder="1" applyAlignment="1">
      <alignment horizontal="center" vertical="center" wrapText="1"/>
    </xf>
    <xf numFmtId="3" fontId="14" fillId="2" borderId="40" xfId="0" applyNumberFormat="1" applyFont="1" applyFill="1" applyBorder="1" applyAlignment="1">
      <alignment horizontal="center" vertical="center" wrapText="1"/>
    </xf>
    <xf numFmtId="3" fontId="14" fillId="2" borderId="42" xfId="0" applyNumberFormat="1" applyFont="1" applyFill="1" applyBorder="1" applyAlignment="1">
      <alignment horizontal="center" vertical="center" wrapText="1"/>
    </xf>
    <xf numFmtId="3" fontId="45" fillId="2" borderId="0" xfId="20" applyNumberFormat="1" applyFont="1" applyFill="1" applyAlignment="1">
      <alignment horizontal="center" vertical="center"/>
    </xf>
    <xf numFmtId="3" fontId="18" fillId="2" borderId="21" xfId="20" applyNumberFormat="1" applyFont="1" applyFill="1" applyBorder="1" applyAlignment="1">
      <alignment horizontal="center" vertical="center" wrapText="1"/>
    </xf>
    <xf numFmtId="3" fontId="18" fillId="2" borderId="23" xfId="20" applyNumberFormat="1" applyFont="1" applyFill="1" applyBorder="1" applyAlignment="1">
      <alignment horizontal="center" vertical="center" wrapText="1"/>
    </xf>
    <xf numFmtId="3" fontId="18" fillId="2" borderId="22" xfId="20" applyNumberFormat="1" applyFont="1" applyFill="1" applyBorder="1" applyAlignment="1">
      <alignment horizontal="center" vertical="center" wrapText="1"/>
    </xf>
    <xf numFmtId="3" fontId="18" fillId="2" borderId="25" xfId="20" applyNumberFormat="1" applyFont="1" applyFill="1" applyBorder="1" applyAlignment="1">
      <alignment horizontal="center" vertical="center" wrapText="1"/>
    </xf>
    <xf numFmtId="3" fontId="20" fillId="2" borderId="70" xfId="20" applyNumberFormat="1" applyFont="1" applyFill="1" applyBorder="1" applyAlignment="1">
      <alignment horizontal="center" vertical="center" wrapText="1"/>
    </xf>
    <xf numFmtId="3" fontId="20" fillId="2" borderId="71" xfId="20" applyNumberFormat="1" applyFont="1" applyFill="1" applyBorder="1" applyAlignment="1">
      <alignment horizontal="center" vertical="center" wrapText="1"/>
    </xf>
    <xf numFmtId="3" fontId="18" fillId="2" borderId="82" xfId="20" applyNumberFormat="1" applyFont="1" applyFill="1" applyBorder="1" applyAlignment="1">
      <alignment horizontal="center" vertical="center" wrapText="1"/>
    </xf>
    <xf numFmtId="3" fontId="18" fillId="2" borderId="85" xfId="20" applyNumberFormat="1" applyFont="1" applyFill="1" applyBorder="1" applyAlignment="1">
      <alignment horizontal="center" vertical="center" wrapText="1"/>
    </xf>
    <xf numFmtId="3" fontId="18" fillId="2" borderId="76" xfId="20" applyNumberFormat="1" applyFont="1" applyFill="1" applyBorder="1" applyAlignment="1">
      <alignment horizontal="center" vertical="center" wrapText="1"/>
    </xf>
    <xf numFmtId="3" fontId="18" fillId="2" borderId="65" xfId="20" applyNumberFormat="1" applyFont="1" applyFill="1" applyBorder="1" applyAlignment="1">
      <alignment horizontal="center" vertical="center" wrapText="1"/>
    </xf>
    <xf numFmtId="3" fontId="18" fillId="2" borderId="37" xfId="20" applyNumberFormat="1" applyFont="1" applyFill="1" applyBorder="1" applyAlignment="1">
      <alignment horizontal="center" vertical="center" wrapText="1"/>
    </xf>
    <xf numFmtId="3" fontId="18" fillId="2" borderId="109" xfId="20" applyNumberFormat="1" applyFont="1" applyFill="1" applyBorder="1" applyAlignment="1">
      <alignment horizontal="center" vertical="center" wrapText="1"/>
    </xf>
    <xf numFmtId="3" fontId="18" fillId="2" borderId="40" xfId="20" applyNumberFormat="1" applyFont="1" applyFill="1" applyBorder="1" applyAlignment="1">
      <alignment horizontal="center" vertical="center" wrapText="1"/>
    </xf>
    <xf numFmtId="3" fontId="18" fillId="2" borderId="32" xfId="20" applyNumberFormat="1" applyFont="1" applyFill="1" applyBorder="1" applyAlignment="1">
      <alignment horizontal="center" vertical="center" wrapText="1"/>
    </xf>
    <xf numFmtId="3" fontId="18" fillId="2" borderId="59" xfId="20" applyNumberFormat="1" applyFont="1" applyFill="1" applyBorder="1" applyAlignment="1">
      <alignment horizontal="center" vertical="center" wrapText="1"/>
    </xf>
    <xf numFmtId="3" fontId="18" fillId="2" borderId="43" xfId="20" applyNumberFormat="1" applyFont="1" applyFill="1" applyBorder="1" applyAlignment="1">
      <alignment horizontal="center" vertical="center" wrapText="1"/>
    </xf>
    <xf numFmtId="3" fontId="18" fillId="2" borderId="20" xfId="20" applyNumberFormat="1" applyFont="1" applyFill="1" applyBorder="1" applyAlignment="1">
      <alignment horizontal="center" vertical="center" wrapText="1"/>
    </xf>
    <xf numFmtId="3" fontId="18" fillId="2" borderId="62" xfId="20" applyNumberFormat="1" applyFont="1" applyFill="1" applyBorder="1" applyAlignment="1">
      <alignment horizontal="center" vertical="center" wrapText="1"/>
    </xf>
    <xf numFmtId="3" fontId="18" fillId="2" borderId="60" xfId="20" applyNumberFormat="1" applyFont="1" applyFill="1" applyBorder="1" applyAlignment="1">
      <alignment horizontal="center" vertical="center" wrapText="1"/>
    </xf>
    <xf numFmtId="3" fontId="18" fillId="2" borderId="63" xfId="20" applyNumberFormat="1" applyFont="1" applyFill="1" applyBorder="1" applyAlignment="1">
      <alignment horizontal="center" vertical="center" wrapText="1"/>
    </xf>
    <xf numFmtId="2" fontId="48" fillId="2" borderId="21" xfId="0" applyNumberFormat="1" applyFont="1" applyFill="1" applyBorder="1" applyAlignment="1">
      <alignment horizontal="center" vertical="center" wrapText="1"/>
    </xf>
    <xf numFmtId="2" fontId="48" fillId="2" borderId="22" xfId="0" applyNumberFormat="1" applyFont="1" applyFill="1" applyBorder="1" applyAlignment="1">
      <alignment horizontal="center" vertical="center" wrapText="1"/>
    </xf>
    <xf numFmtId="2" fontId="48" fillId="2" borderId="28" xfId="0" applyNumberFormat="1" applyFont="1" applyFill="1" applyBorder="1" applyAlignment="1">
      <alignment horizontal="center" vertical="center" wrapText="1"/>
    </xf>
    <xf numFmtId="2" fontId="48" fillId="2" borderId="23" xfId="0" applyNumberFormat="1" applyFont="1" applyFill="1" applyBorder="1" applyAlignment="1">
      <alignment horizontal="center" vertical="center" wrapText="1"/>
    </xf>
    <xf numFmtId="1" fontId="77" fillId="2" borderId="0" xfId="112" applyNumberFormat="1" applyFont="1" applyFill="1" applyBorder="1" applyAlignment="1">
      <alignment horizontal="center" vertical="center"/>
    </xf>
    <xf numFmtId="1" fontId="77" fillId="2" borderId="30" xfId="112" applyNumberFormat="1" applyFont="1" applyFill="1" applyBorder="1" applyAlignment="1">
      <alignment horizontal="center" vertical="center"/>
    </xf>
    <xf numFmtId="1" fontId="77" fillId="2" borderId="72" xfId="112" applyNumberFormat="1" applyFont="1" applyFill="1" applyBorder="1" applyAlignment="1">
      <alignment horizontal="center" vertical="center"/>
    </xf>
    <xf numFmtId="3" fontId="48" fillId="62" borderId="7" xfId="113" applyNumberFormat="1" applyFont="1" applyFill="1" applyBorder="1" applyAlignment="1">
      <alignment horizontal="center" vertical="center"/>
    </xf>
    <xf numFmtId="3" fontId="48" fillId="62" borderId="9" xfId="113" applyNumberFormat="1" applyFont="1" applyFill="1" applyBorder="1" applyAlignment="1">
      <alignment horizontal="center" vertical="center"/>
    </xf>
    <xf numFmtId="3" fontId="48" fillId="62" borderId="55" xfId="113" applyNumberFormat="1" applyFont="1" applyFill="1" applyBorder="1" applyAlignment="1">
      <alignment horizontal="center" vertical="center"/>
    </xf>
    <xf numFmtId="3" fontId="48" fillId="62" borderId="8" xfId="113" applyNumberFormat="1" applyFont="1" applyFill="1" applyBorder="1" applyAlignment="1">
      <alignment horizontal="center" vertical="center"/>
    </xf>
    <xf numFmtId="3" fontId="48" fillId="62" borderId="10" xfId="113" applyNumberFormat="1" applyFont="1" applyFill="1" applyBorder="1" applyAlignment="1">
      <alignment horizontal="center" vertical="center"/>
    </xf>
    <xf numFmtId="3" fontId="48" fillId="65" borderId="7" xfId="113" applyNumberFormat="1" applyFont="1" applyFill="1" applyBorder="1" applyAlignment="1">
      <alignment horizontal="center" vertical="center"/>
    </xf>
    <xf numFmtId="3" fontId="48" fillId="65" borderId="9" xfId="113" applyNumberFormat="1" applyFont="1" applyFill="1" applyBorder="1" applyAlignment="1">
      <alignment horizontal="center" vertical="center"/>
    </xf>
    <xf numFmtId="3" fontId="48" fillId="65" borderId="10" xfId="113" applyNumberFormat="1" applyFont="1" applyFill="1" applyBorder="1" applyAlignment="1">
      <alignment horizontal="center" vertical="center"/>
    </xf>
    <xf numFmtId="3" fontId="48" fillId="60" borderId="8" xfId="113" applyNumberFormat="1" applyFont="1" applyFill="1" applyBorder="1" applyAlignment="1">
      <alignment horizontal="center" vertical="center"/>
    </xf>
    <xf numFmtId="3" fontId="48" fillId="60" borderId="9" xfId="113" applyNumberFormat="1" applyFont="1" applyFill="1" applyBorder="1" applyAlignment="1">
      <alignment horizontal="center" vertical="center"/>
    </xf>
    <xf numFmtId="3" fontId="48" fillId="60" borderId="10" xfId="113" applyNumberFormat="1" applyFont="1" applyFill="1" applyBorder="1" applyAlignment="1">
      <alignment horizontal="center" vertical="center"/>
    </xf>
    <xf numFmtId="3" fontId="48" fillId="60" borderId="7" xfId="113" applyNumberFormat="1" applyFont="1" applyFill="1" applyBorder="1" applyAlignment="1">
      <alignment horizontal="center" vertical="center"/>
    </xf>
    <xf numFmtId="3" fontId="48" fillId="60" borderId="55" xfId="113" applyNumberFormat="1" applyFont="1" applyFill="1" applyBorder="1" applyAlignment="1">
      <alignment horizontal="center" vertical="center"/>
    </xf>
    <xf numFmtId="1" fontId="77" fillId="59" borderId="20" xfId="112" applyNumberFormat="1" applyFont="1" applyFill="1" applyBorder="1" applyAlignment="1">
      <alignment horizontal="center" vertical="center" wrapText="1"/>
    </xf>
    <xf numFmtId="1" fontId="77" fillId="59" borderId="62" xfId="112" applyNumberFormat="1" applyFont="1" applyFill="1" applyBorder="1" applyAlignment="1">
      <alignment horizontal="center" vertical="center" wrapText="1"/>
    </xf>
    <xf numFmtId="0" fontId="77" fillId="59" borderId="80" xfId="112" applyFont="1" applyFill="1" applyBorder="1" applyAlignment="1">
      <alignment horizontal="center" vertical="center" wrapText="1"/>
    </xf>
    <xf numFmtId="0" fontId="77" fillId="59" borderId="78" xfId="112" applyFont="1" applyFill="1" applyBorder="1" applyAlignment="1">
      <alignment horizontal="center" vertical="center" wrapText="1"/>
    </xf>
    <xf numFmtId="1" fontId="77" fillId="59" borderId="80" xfId="112" applyNumberFormat="1" applyFont="1" applyFill="1" applyBorder="1" applyAlignment="1">
      <alignment horizontal="center" vertical="center" wrapText="1"/>
    </xf>
    <xf numFmtId="1" fontId="77" fillId="59" borderId="78" xfId="112" applyNumberFormat="1" applyFont="1" applyFill="1" applyBorder="1" applyAlignment="1">
      <alignment horizontal="center" vertical="center" wrapText="1"/>
    </xf>
    <xf numFmtId="0" fontId="77" fillId="59" borderId="76" xfId="112" applyFont="1" applyFill="1" applyBorder="1" applyAlignment="1">
      <alignment horizontal="center" vertical="center" wrapText="1"/>
    </xf>
    <xf numFmtId="0" fontId="77" fillId="59" borderId="65" xfId="112" applyFont="1" applyFill="1" applyBorder="1" applyAlignment="1">
      <alignment horizontal="center" vertical="center" wrapText="1"/>
    </xf>
    <xf numFmtId="4" fontId="77" fillId="59" borderId="32" xfId="112" applyNumberFormat="1" applyFont="1" applyFill="1" applyBorder="1" applyAlignment="1">
      <alignment horizontal="center" vertical="center" wrapText="1"/>
    </xf>
    <xf numFmtId="4" fontId="77" fillId="59" borderId="43" xfId="112" applyNumberFormat="1" applyFont="1" applyFill="1" applyBorder="1" applyAlignment="1">
      <alignment horizontal="center" vertical="center" wrapText="1"/>
    </xf>
    <xf numFmtId="3" fontId="48" fillId="61" borderId="7" xfId="113" applyNumberFormat="1" applyFont="1" applyFill="1" applyBorder="1" applyAlignment="1">
      <alignment horizontal="center" vertical="center"/>
    </xf>
    <xf numFmtId="3" fontId="48" fillId="61" borderId="9" xfId="113" applyNumberFormat="1" applyFont="1" applyFill="1" applyBorder="1" applyAlignment="1">
      <alignment horizontal="center" vertical="center"/>
    </xf>
    <xf numFmtId="3" fontId="48" fillId="61" borderId="55" xfId="113" applyNumberFormat="1" applyFont="1" applyFill="1" applyBorder="1" applyAlignment="1">
      <alignment horizontal="center" vertical="center"/>
    </xf>
    <xf numFmtId="3" fontId="48" fillId="62" borderId="8" xfId="113" applyNumberFormat="1" applyFont="1" applyFill="1" applyBorder="1" applyAlignment="1">
      <alignment horizontal="center" vertical="center" wrapText="1"/>
    </xf>
    <xf numFmtId="3" fontId="48" fillId="62" borderId="9" xfId="113" applyNumberFormat="1" applyFont="1" applyFill="1" applyBorder="1" applyAlignment="1">
      <alignment horizontal="center" vertical="center" wrapText="1"/>
    </xf>
    <xf numFmtId="3" fontId="48" fillId="62" borderId="10" xfId="113" applyNumberFormat="1" applyFont="1" applyFill="1" applyBorder="1" applyAlignment="1">
      <alignment horizontal="center" vertical="center" wrapText="1"/>
    </xf>
    <xf numFmtId="3" fontId="48" fillId="62" borderId="7" xfId="113" applyNumberFormat="1" applyFont="1" applyFill="1" applyBorder="1" applyAlignment="1">
      <alignment horizontal="center" vertical="center" wrapText="1"/>
    </xf>
    <xf numFmtId="3" fontId="48" fillId="62" borderId="55" xfId="113" applyNumberFormat="1" applyFont="1" applyFill="1" applyBorder="1" applyAlignment="1">
      <alignment horizontal="center" vertical="center" wrapText="1"/>
    </xf>
    <xf numFmtId="3" fontId="48" fillId="24" borderId="7" xfId="113" applyNumberFormat="1" applyFont="1" applyFill="1" applyBorder="1" applyAlignment="1">
      <alignment horizontal="center" vertical="center" wrapText="1"/>
    </xf>
    <xf numFmtId="3" fontId="48" fillId="24" borderId="9" xfId="113" applyNumberFormat="1" applyFont="1" applyFill="1" applyBorder="1" applyAlignment="1">
      <alignment horizontal="center" vertical="center" wrapText="1"/>
    </xf>
    <xf numFmtId="3" fontId="48" fillId="24" borderId="55" xfId="113" applyNumberFormat="1" applyFont="1" applyFill="1" applyBorder="1" applyAlignment="1">
      <alignment horizontal="center" vertical="center" wrapText="1"/>
    </xf>
    <xf numFmtId="3" fontId="48" fillId="60" borderId="30" xfId="113" applyNumberFormat="1" applyFont="1" applyFill="1" applyBorder="1" applyAlignment="1">
      <alignment horizontal="center" vertical="center"/>
    </xf>
    <xf numFmtId="3" fontId="48" fillId="60" borderId="72" xfId="113" applyNumberFormat="1" applyFont="1" applyFill="1" applyBorder="1" applyAlignment="1">
      <alignment horizontal="center" vertical="center"/>
    </xf>
    <xf numFmtId="3" fontId="48" fillId="60" borderId="75" xfId="113" applyNumberFormat="1" applyFont="1" applyFill="1" applyBorder="1" applyAlignment="1">
      <alignment horizontal="center" vertical="center"/>
    </xf>
    <xf numFmtId="3" fontId="48" fillId="60" borderId="30" xfId="113" applyNumberFormat="1" applyFont="1" applyFill="1" applyBorder="1" applyAlignment="1">
      <alignment horizontal="center" vertical="center" wrapText="1"/>
    </xf>
    <xf numFmtId="3" fontId="48" fillId="60" borderId="72" xfId="113" applyNumberFormat="1" applyFont="1" applyFill="1" applyBorder="1" applyAlignment="1">
      <alignment horizontal="center" vertical="center" wrapText="1"/>
    </xf>
    <xf numFmtId="3" fontId="48" fillId="60" borderId="75" xfId="113" applyNumberFormat="1" applyFont="1" applyFill="1" applyBorder="1" applyAlignment="1">
      <alignment horizontal="center" vertical="center" wrapText="1"/>
    </xf>
    <xf numFmtId="3" fontId="48" fillId="60" borderId="8" xfId="113" applyNumberFormat="1" applyFont="1" applyFill="1" applyBorder="1" applyAlignment="1">
      <alignment horizontal="center" vertical="center" wrapText="1"/>
    </xf>
    <xf numFmtId="3" fontId="48" fillId="60" borderId="9" xfId="113" applyNumberFormat="1" applyFont="1" applyFill="1" applyBorder="1" applyAlignment="1">
      <alignment horizontal="center" vertical="center" wrapText="1"/>
    </xf>
    <xf numFmtId="3" fontId="48" fillId="60" borderId="10" xfId="113" applyNumberFormat="1" applyFont="1" applyFill="1" applyBorder="1" applyAlignment="1">
      <alignment horizontal="center" vertical="center" wrapText="1"/>
    </xf>
    <xf numFmtId="3" fontId="48" fillId="60" borderId="7" xfId="113" applyNumberFormat="1" applyFont="1" applyFill="1" applyBorder="1" applyAlignment="1">
      <alignment horizontal="center" vertical="center" wrapText="1"/>
    </xf>
    <xf numFmtId="3" fontId="48" fillId="60" borderId="55" xfId="113" applyNumberFormat="1" applyFont="1" applyFill="1" applyBorder="1" applyAlignment="1">
      <alignment horizontal="center" vertical="center" wrapText="1"/>
    </xf>
    <xf numFmtId="1" fontId="76" fillId="2" borderId="0" xfId="112" applyNumberFormat="1" applyFont="1" applyFill="1" applyBorder="1" applyAlignment="1">
      <alignment horizontal="left"/>
    </xf>
    <xf numFmtId="3" fontId="76" fillId="2" borderId="0" xfId="112" applyNumberFormat="1" applyFont="1" applyFill="1" applyBorder="1" applyAlignment="1">
      <alignment horizontal="left"/>
    </xf>
    <xf numFmtId="1" fontId="77" fillId="60" borderId="21" xfId="112" applyNumberFormat="1" applyFont="1" applyFill="1" applyBorder="1" applyAlignment="1">
      <alignment horizontal="center" vertical="center" wrapText="1"/>
    </xf>
    <xf numFmtId="1" fontId="77" fillId="60" borderId="23" xfId="112" applyNumberFormat="1" applyFont="1" applyFill="1" applyBorder="1" applyAlignment="1">
      <alignment horizontal="center" vertical="center" wrapText="1"/>
    </xf>
    <xf numFmtId="1" fontId="77" fillId="60" borderId="81" xfId="112" applyNumberFormat="1" applyFont="1" applyFill="1" applyBorder="1" applyAlignment="1">
      <alignment horizontal="center" vertical="center" wrapText="1"/>
    </xf>
    <xf numFmtId="1" fontId="77" fillId="60" borderId="24" xfId="112" applyNumberFormat="1" applyFont="1" applyFill="1" applyBorder="1" applyAlignment="1">
      <alignment horizontal="center" vertical="center" wrapText="1"/>
    </xf>
    <xf numFmtId="0" fontId="77" fillId="60" borderId="81" xfId="112" applyFont="1" applyFill="1" applyBorder="1" applyAlignment="1">
      <alignment horizontal="center" vertical="center" wrapText="1"/>
    </xf>
    <xf numFmtId="0" fontId="77" fillId="60" borderId="24" xfId="112" applyFont="1" applyFill="1" applyBorder="1" applyAlignment="1">
      <alignment horizontal="center" vertical="center" wrapText="1"/>
    </xf>
    <xf numFmtId="0" fontId="77" fillId="60" borderId="61" xfId="112" applyFont="1" applyFill="1" applyBorder="1" applyAlignment="1">
      <alignment horizontal="center" vertical="center" wrapText="1"/>
    </xf>
    <xf numFmtId="0" fontId="77" fillId="60" borderId="64" xfId="112" applyFont="1" applyFill="1" applyBorder="1" applyAlignment="1">
      <alignment horizontal="center" vertical="center" wrapText="1"/>
    </xf>
    <xf numFmtId="4" fontId="77" fillId="60" borderId="26" xfId="112" applyNumberFormat="1" applyFont="1" applyFill="1" applyBorder="1" applyAlignment="1">
      <alignment horizontal="center" vertical="center" wrapText="1"/>
    </xf>
    <xf numFmtId="4" fontId="77" fillId="60" borderId="19" xfId="112" applyNumberFormat="1" applyFont="1" applyFill="1" applyBorder="1" applyAlignment="1">
      <alignment horizontal="center" vertical="center" wrapText="1"/>
    </xf>
    <xf numFmtId="1" fontId="78" fillId="2" borderId="0" xfId="112" applyNumberFormat="1" applyFont="1" applyFill="1" applyBorder="1" applyAlignment="1">
      <alignment horizontal="center"/>
    </xf>
    <xf numFmtId="3" fontId="78" fillId="2" borderId="0" xfId="112" applyNumberFormat="1" applyFont="1" applyFill="1" applyBorder="1" applyAlignment="1">
      <alignment horizontal="center"/>
    </xf>
  </cellXfs>
  <cellStyles count="114">
    <cellStyle name="Accent1 - 20%" xfId="59" xr:uid="{00000000-0005-0000-0000-000000000000}"/>
    <cellStyle name="Accent1 - 40%" xfId="60" xr:uid="{00000000-0005-0000-0000-000001000000}"/>
    <cellStyle name="Accent1 - 60%" xfId="61" xr:uid="{00000000-0005-0000-0000-000002000000}"/>
    <cellStyle name="Accent2 - 20%" xfId="62" xr:uid="{00000000-0005-0000-0000-000003000000}"/>
    <cellStyle name="Accent2 - 40%" xfId="63" xr:uid="{00000000-0005-0000-0000-000004000000}"/>
    <cellStyle name="Accent2 - 60%" xfId="64" xr:uid="{00000000-0005-0000-0000-000005000000}"/>
    <cellStyle name="Accent3 - 20%" xfId="65" xr:uid="{00000000-0005-0000-0000-000006000000}"/>
    <cellStyle name="Accent3 - 40%" xfId="66" xr:uid="{00000000-0005-0000-0000-000007000000}"/>
    <cellStyle name="Accent3 - 60%" xfId="67" xr:uid="{00000000-0005-0000-0000-000008000000}"/>
    <cellStyle name="Accent4 - 20%" xfId="68" xr:uid="{00000000-0005-0000-0000-000009000000}"/>
    <cellStyle name="Accent4 - 40%" xfId="69" xr:uid="{00000000-0005-0000-0000-00000A000000}"/>
    <cellStyle name="Accent4 - 60%" xfId="70" xr:uid="{00000000-0005-0000-0000-00000B000000}"/>
    <cellStyle name="Accent5 - 20%" xfId="71" xr:uid="{00000000-0005-0000-0000-00000C000000}"/>
    <cellStyle name="Accent5 - 40%" xfId="72" xr:uid="{00000000-0005-0000-0000-00000D000000}"/>
    <cellStyle name="Accent5 - 60%" xfId="73" xr:uid="{00000000-0005-0000-0000-00000E000000}"/>
    <cellStyle name="Accent6 - 20%" xfId="74" xr:uid="{00000000-0005-0000-0000-00000F000000}"/>
    <cellStyle name="Accent6 - 40%" xfId="75" xr:uid="{00000000-0005-0000-0000-000010000000}"/>
    <cellStyle name="Accent6 - 60%" xfId="76" xr:uid="{00000000-0005-0000-0000-000011000000}"/>
    <cellStyle name="Comma 2" xfId="9" xr:uid="{00000000-0005-0000-0000-000012000000}"/>
    <cellStyle name="Emphasis 1" xfId="77" xr:uid="{00000000-0005-0000-0000-000013000000}"/>
    <cellStyle name="Emphasis 2" xfId="78" xr:uid="{00000000-0005-0000-0000-000014000000}"/>
    <cellStyle name="Emphasis 3" xfId="79" xr:uid="{00000000-0005-0000-0000-000015000000}"/>
    <cellStyle name="Normal 2" xfId="5" xr:uid="{00000000-0005-0000-0000-000016000000}"/>
    <cellStyle name="Normal 2 2" xfId="51" xr:uid="{00000000-0005-0000-0000-000017000000}"/>
    <cellStyle name="Normal 2 3" xfId="113" xr:uid="{894A2D16-BD98-4160-8409-A5CC89CF0490}"/>
    <cellStyle name="Normal 3" xfId="58" xr:uid="{00000000-0005-0000-0000-000018000000}"/>
    <cellStyle name="Normal 3 3" xfId="10" xr:uid="{00000000-0005-0000-0000-000019000000}"/>
    <cellStyle name="Normal 6" xfId="7" xr:uid="{00000000-0005-0000-0000-00001A000000}"/>
    <cellStyle name="Normal 6 2" xfId="20" xr:uid="{00000000-0005-0000-0000-00001B000000}"/>
    <cellStyle name="Normal 6 3" xfId="11" xr:uid="{00000000-0005-0000-0000-00001C000000}"/>
    <cellStyle name="Normalno" xfId="0" builtinId="0"/>
    <cellStyle name="Normalno 2" xfId="6" xr:uid="{00000000-0005-0000-0000-00001E000000}"/>
    <cellStyle name="Normalno 3" xfId="3" xr:uid="{00000000-0005-0000-0000-00001F000000}"/>
    <cellStyle name="Normalno 3 2" xfId="44" xr:uid="{00000000-0005-0000-0000-000020000000}"/>
    <cellStyle name="Normalno 3 2 2" xfId="54" xr:uid="{00000000-0005-0000-0000-000021000000}"/>
    <cellStyle name="Normalno 3 3" xfId="47" xr:uid="{00000000-0005-0000-0000-000022000000}"/>
    <cellStyle name="Normalno 3 4" xfId="50" xr:uid="{00000000-0005-0000-0000-000023000000}"/>
    <cellStyle name="Normalno 4" xfId="8" xr:uid="{00000000-0005-0000-0000-000024000000}"/>
    <cellStyle name="Normalno 4 2" xfId="45" xr:uid="{00000000-0005-0000-0000-000025000000}"/>
    <cellStyle name="Normalno 4 2 2" xfId="55" xr:uid="{00000000-0005-0000-0000-000026000000}"/>
    <cellStyle name="Normalno 4 3" xfId="48" xr:uid="{00000000-0005-0000-0000-000027000000}"/>
    <cellStyle name="Normalno 4 4" xfId="52" xr:uid="{00000000-0005-0000-0000-000028000000}"/>
    <cellStyle name="Normalno 5" xfId="57" xr:uid="{00000000-0005-0000-0000-000029000000}"/>
    <cellStyle name="Normalno 6" xfId="112" xr:uid="{21CC1B77-E808-4E25-A83E-B27860609D54}"/>
    <cellStyle name="Obično 2" xfId="23" xr:uid="{00000000-0005-0000-0000-00002A000000}"/>
    <cellStyle name="Obično 2 2" xfId="46" xr:uid="{00000000-0005-0000-0000-00002B000000}"/>
    <cellStyle name="Obično 2 2 2" xfId="56" xr:uid="{00000000-0005-0000-0000-00002C000000}"/>
    <cellStyle name="Obično 2 3" xfId="49" xr:uid="{00000000-0005-0000-0000-00002D000000}"/>
    <cellStyle name="Obično 2 4" xfId="53" xr:uid="{00000000-0005-0000-0000-00002E000000}"/>
    <cellStyle name="Obično_01_ZAGREBAČKA ŽUPANIJA" xfId="41" xr:uid="{00000000-0005-0000-0000-00002F000000}"/>
    <cellStyle name="Obično_14_OSJEČKO-BARANJSKA ŽUPANIJA" xfId="42" xr:uid="{00000000-0005-0000-0000-000030000000}"/>
    <cellStyle name="Obično_List4" xfId="43" xr:uid="{00000000-0005-0000-0000-000031000000}"/>
    <cellStyle name="Obično_List6" xfId="111" xr:uid="{00000000-0005-0000-0000-000032000000}"/>
    <cellStyle name="Obično_List7" xfId="38" xr:uid="{00000000-0005-0000-0000-000033000000}"/>
    <cellStyle name="Obično_List8" xfId="39" xr:uid="{00000000-0005-0000-0000-000034000000}"/>
    <cellStyle name="Obično_List9" xfId="40" xr:uid="{00000000-0005-0000-0000-000035000000}"/>
    <cellStyle name="SAPBEXaggData" xfId="12" xr:uid="{00000000-0005-0000-0000-000036000000}"/>
    <cellStyle name="SAPBEXaggData 2" xfId="25" xr:uid="{00000000-0005-0000-0000-000037000000}"/>
    <cellStyle name="SAPBEXaggDataEmph" xfId="80" xr:uid="{00000000-0005-0000-0000-000038000000}"/>
    <cellStyle name="SAPBEXaggItem" xfId="13" xr:uid="{00000000-0005-0000-0000-000039000000}"/>
    <cellStyle name="SAPBEXaggItem 2" xfId="26" xr:uid="{00000000-0005-0000-0000-00003A000000}"/>
    <cellStyle name="SAPBEXaggItemX" xfId="81" xr:uid="{00000000-0005-0000-0000-00003B000000}"/>
    <cellStyle name="SAPBEXchaText" xfId="1" xr:uid="{00000000-0005-0000-0000-00003C000000}"/>
    <cellStyle name="SAPBEXchaText 2" xfId="21" xr:uid="{00000000-0005-0000-0000-00003D000000}"/>
    <cellStyle name="SAPBEXchaText 2 2" xfId="35" xr:uid="{00000000-0005-0000-0000-00003E000000}"/>
    <cellStyle name="SAPBEXchaText 3" xfId="27" xr:uid="{00000000-0005-0000-0000-00003F000000}"/>
    <cellStyle name="SAPBEXexcBad7" xfId="82" xr:uid="{00000000-0005-0000-0000-000040000000}"/>
    <cellStyle name="SAPBEXexcBad8" xfId="83" xr:uid="{00000000-0005-0000-0000-000041000000}"/>
    <cellStyle name="SAPBEXexcBad9" xfId="84" xr:uid="{00000000-0005-0000-0000-000042000000}"/>
    <cellStyle name="SAPBEXexcCritical4" xfId="85" xr:uid="{00000000-0005-0000-0000-000043000000}"/>
    <cellStyle name="SAPBEXexcCritical5" xfId="86" xr:uid="{00000000-0005-0000-0000-000044000000}"/>
    <cellStyle name="SAPBEXexcCritical6" xfId="87" xr:uid="{00000000-0005-0000-0000-000045000000}"/>
    <cellStyle name="SAPBEXexcGood1" xfId="88" xr:uid="{00000000-0005-0000-0000-000046000000}"/>
    <cellStyle name="SAPBEXexcGood2" xfId="89" xr:uid="{00000000-0005-0000-0000-000047000000}"/>
    <cellStyle name="SAPBEXexcGood3" xfId="90" xr:uid="{00000000-0005-0000-0000-000048000000}"/>
    <cellStyle name="SAPBEXfilterDrill" xfId="91" xr:uid="{00000000-0005-0000-0000-000049000000}"/>
    <cellStyle name="SAPBEXfilterItem" xfId="92" xr:uid="{00000000-0005-0000-0000-00004A000000}"/>
    <cellStyle name="SAPBEXfilterText" xfId="93" xr:uid="{00000000-0005-0000-0000-00004B000000}"/>
    <cellStyle name="SAPBEXformats" xfId="14" xr:uid="{00000000-0005-0000-0000-00004C000000}"/>
    <cellStyle name="SAPBEXformats 2" xfId="28" xr:uid="{00000000-0005-0000-0000-00004D000000}"/>
    <cellStyle name="SAPBEXheaderItem" xfId="94" xr:uid="{00000000-0005-0000-0000-00004E000000}"/>
    <cellStyle name="SAPBEXheaderText" xfId="95" xr:uid="{00000000-0005-0000-0000-00004F000000}"/>
    <cellStyle name="SAPBEXHLevel0" xfId="15" xr:uid="{00000000-0005-0000-0000-000050000000}"/>
    <cellStyle name="SAPBEXHLevel0 2" xfId="29" xr:uid="{00000000-0005-0000-0000-000051000000}"/>
    <cellStyle name="SAPBEXHLevel0X" xfId="96" xr:uid="{00000000-0005-0000-0000-000052000000}"/>
    <cellStyle name="SAPBEXHLevel1" xfId="16" xr:uid="{00000000-0005-0000-0000-000053000000}"/>
    <cellStyle name="SAPBEXHLevel1 2" xfId="30" xr:uid="{00000000-0005-0000-0000-000054000000}"/>
    <cellStyle name="SAPBEXHLevel1X" xfId="97" xr:uid="{00000000-0005-0000-0000-000055000000}"/>
    <cellStyle name="SAPBEXHLevel2" xfId="17" xr:uid="{00000000-0005-0000-0000-000056000000}"/>
    <cellStyle name="SAPBEXHLevel2 2" xfId="31" xr:uid="{00000000-0005-0000-0000-000057000000}"/>
    <cellStyle name="SAPBEXHLevel2X" xfId="98" xr:uid="{00000000-0005-0000-0000-000058000000}"/>
    <cellStyle name="SAPBEXHLevel3" xfId="18" xr:uid="{00000000-0005-0000-0000-000059000000}"/>
    <cellStyle name="SAPBEXHLevel3 2" xfId="32" xr:uid="{00000000-0005-0000-0000-00005A000000}"/>
    <cellStyle name="SAPBEXHLevel3X" xfId="99" xr:uid="{00000000-0005-0000-0000-00005B000000}"/>
    <cellStyle name="SAPBEXinputData" xfId="100" xr:uid="{00000000-0005-0000-0000-00005C000000}"/>
    <cellStyle name="SAPBEXItemHeader" xfId="19" xr:uid="{00000000-0005-0000-0000-00005D000000}"/>
    <cellStyle name="SAPBEXresData" xfId="101" xr:uid="{00000000-0005-0000-0000-00005E000000}"/>
    <cellStyle name="SAPBEXresDataEmph" xfId="102" xr:uid="{00000000-0005-0000-0000-00005F000000}"/>
    <cellStyle name="SAPBEXresItem" xfId="103" xr:uid="{00000000-0005-0000-0000-000060000000}"/>
    <cellStyle name="SAPBEXresItemX" xfId="104" xr:uid="{00000000-0005-0000-0000-000061000000}"/>
    <cellStyle name="SAPBEXstdData" xfId="4" xr:uid="{00000000-0005-0000-0000-000062000000}"/>
    <cellStyle name="SAPBEXstdData 2" xfId="24" xr:uid="{00000000-0005-0000-0000-000063000000}"/>
    <cellStyle name="SAPBEXstdData 2 2" xfId="37" xr:uid="{00000000-0005-0000-0000-000064000000}"/>
    <cellStyle name="SAPBEXstdData 3" xfId="33" xr:uid="{00000000-0005-0000-0000-000065000000}"/>
    <cellStyle name="SAPBEXstdDataEmph" xfId="105" xr:uid="{00000000-0005-0000-0000-000066000000}"/>
    <cellStyle name="SAPBEXstdItem" xfId="2" xr:uid="{00000000-0005-0000-0000-000067000000}"/>
    <cellStyle name="SAPBEXstdItem 2" xfId="22" xr:uid="{00000000-0005-0000-0000-000068000000}"/>
    <cellStyle name="SAPBEXstdItem 2 2" xfId="36" xr:uid="{00000000-0005-0000-0000-000069000000}"/>
    <cellStyle name="SAPBEXstdItem 3" xfId="34" xr:uid="{00000000-0005-0000-0000-00006A000000}"/>
    <cellStyle name="SAPBEXstdItemX" xfId="106" xr:uid="{00000000-0005-0000-0000-00006B000000}"/>
    <cellStyle name="SAPBEXtitle" xfId="107" xr:uid="{00000000-0005-0000-0000-00006C000000}"/>
    <cellStyle name="SAPBEXunassignedItem" xfId="108" xr:uid="{00000000-0005-0000-0000-00006D000000}"/>
    <cellStyle name="SAPBEXundefined" xfId="109" xr:uid="{00000000-0005-0000-0000-00006E000000}"/>
    <cellStyle name="Sheet Title" xfId="110" xr:uid="{00000000-0005-0000-0000-00006F000000}"/>
  </cellStyles>
  <dxfs count="0"/>
  <tableStyles count="0" defaultTableStyle="TableStyleMedium9"/>
  <colors>
    <mruColors>
      <color rgb="FFFFFFFF"/>
      <color rgb="FFFFFFCC"/>
      <color rgb="FF333399"/>
      <color rgb="FFCCCCFF"/>
      <color rgb="FFB8CCE4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ShapeType="1"/>
        </xdr:cNvSpPr>
      </xdr:nvSpPr>
      <xdr:spPr bwMode="auto">
        <a:xfrm>
          <a:off x="19050" y="371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0</xdr:col>
      <xdr:colOff>1085850</xdr:colOff>
      <xdr:row>4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ShapeType="1"/>
        </xdr:cNvSpPr>
      </xdr:nvSpPr>
      <xdr:spPr bwMode="auto">
        <a:xfrm>
          <a:off x="9525" y="371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ShapeType="1"/>
        </xdr:cNvSpPr>
      </xdr:nvSpPr>
      <xdr:spPr bwMode="auto">
        <a:xfrm>
          <a:off x="19050" y="371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ownloads/otklju&#269;an-sveu&#269;ili&#353;te%20-SASTAVNICE%20Prijedlog%20financijskog%20plana_2020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esktop/PLAN%202022-2024/4-KONSOLIDIRANI%20%20PLAN%20ZA%202022-2024%20-%2017112021-RAD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dio"/>
      <sheetName val="Plan prihoda za unos u SAP"/>
      <sheetName val="Plan rashoda za unos u SAP"/>
      <sheetName val="PLAN PRIHODA I PRIMITAKA "/>
      <sheetName val="PLAN RASHODA I IZDATAKA"/>
      <sheetName val="PLAN IZDATAKA"/>
      <sheetName val="ANALITIKA EU PROJEKATA"/>
      <sheetName val="AKT"/>
      <sheetName val="p4"/>
    </sheetNames>
    <sheetDataSet>
      <sheetData sheetId="0"/>
      <sheetData sheetId="1"/>
      <sheetData sheetId="2"/>
      <sheetData sheetId="3"/>
      <sheetData sheetId="4">
        <row r="3">
          <cell r="D3">
            <v>0</v>
          </cell>
          <cell r="J3">
            <v>0</v>
          </cell>
          <cell r="P3">
            <v>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dio"/>
      <sheetName val="Plan za unos u SAP"/>
      <sheetName val="prihodi i primici"/>
      <sheetName val="rashodi i izdaci"/>
      <sheetName val="Pregled po sastavnicama"/>
      <sheetName val="plan 2021-2023 po sastavnicama"/>
    </sheetNames>
    <sheetDataSet>
      <sheetData sheetId="0" refreshError="1"/>
      <sheetData sheetId="1" refreshError="1"/>
      <sheetData sheetId="2" refreshError="1">
        <row r="5">
          <cell r="M5">
            <v>0</v>
          </cell>
          <cell r="N5">
            <v>0</v>
          </cell>
          <cell r="O5">
            <v>0</v>
          </cell>
        </row>
        <row r="7">
          <cell r="M7">
            <v>0</v>
          </cell>
          <cell r="N7">
            <v>0</v>
          </cell>
          <cell r="O7">
            <v>0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96"/>
  <sheetViews>
    <sheetView tabSelected="1" topLeftCell="A7" workbookViewId="0">
      <selection activeCell="B19" sqref="B19:E19"/>
    </sheetView>
  </sheetViews>
  <sheetFormatPr defaultColWidth="0" defaultRowHeight="15" zeroHeight="1"/>
  <cols>
    <col min="1" max="1" width="7.5703125" style="8" customWidth="1"/>
    <col min="2" max="2" width="35" style="8" customWidth="1"/>
    <col min="3" max="3" width="17.28515625" style="8" customWidth="1"/>
    <col min="4" max="4" width="18.140625" style="8" customWidth="1"/>
    <col min="5" max="5" width="20" style="8" customWidth="1"/>
    <col min="6" max="11" width="11.42578125" style="8" hidden="1" customWidth="1"/>
    <col min="12" max="12" width="7.85546875" style="8" hidden="1" customWidth="1"/>
    <col min="13" max="13" width="41.28515625" style="8" hidden="1" customWidth="1"/>
    <col min="14" max="28" width="11.42578125" style="8" hidden="1" customWidth="1"/>
    <col min="29" max="16384" width="14.42578125" style="8" hidden="1"/>
  </cols>
  <sheetData>
    <row r="1" spans="1:27" ht="15.75" customHeight="1">
      <c r="A1" s="915" t="s">
        <v>676</v>
      </c>
      <c r="B1" s="915"/>
      <c r="C1" s="915"/>
    </row>
    <row r="2" spans="1:27" ht="15.75">
      <c r="A2" s="864" t="s">
        <v>835</v>
      </c>
      <c r="B2" s="10"/>
      <c r="C2" s="9"/>
      <c r="D2" s="9"/>
      <c r="E2" s="9"/>
      <c r="F2" s="9"/>
      <c r="G2" s="9"/>
      <c r="H2" s="9"/>
      <c r="I2" s="9"/>
      <c r="J2" s="11">
        <v>2</v>
      </c>
      <c r="K2" s="11" t="str">
        <f t="shared" ref="K2:K65" si="0">L2&amp;" "&amp;M2</f>
        <v>2284 SVEUČILIŠTE J.J STROSSMAYERA U OSIJEKU - EKONOMSKI FAKULTET</v>
      </c>
      <c r="L2" s="12">
        <v>2284</v>
      </c>
      <c r="M2" s="13" t="s">
        <v>209</v>
      </c>
      <c r="N2" s="13" t="s">
        <v>207</v>
      </c>
      <c r="O2" s="13" t="s">
        <v>210</v>
      </c>
      <c r="P2" s="13" t="s">
        <v>208</v>
      </c>
      <c r="Q2" s="14">
        <v>3021645</v>
      </c>
      <c r="R2" s="15" t="s">
        <v>211</v>
      </c>
      <c r="S2" s="15" t="s">
        <v>18</v>
      </c>
      <c r="T2" s="16" t="s">
        <v>17</v>
      </c>
      <c r="U2" s="9"/>
      <c r="V2" s="9"/>
      <c r="W2" s="9"/>
      <c r="X2" s="9"/>
      <c r="Y2" s="9"/>
      <c r="Z2" s="9"/>
      <c r="AA2" s="9"/>
    </row>
    <row r="3" spans="1:27" ht="28.5" customHeight="1">
      <c r="B3" s="918" t="s">
        <v>824</v>
      </c>
      <c r="C3" s="917"/>
      <c r="D3" s="917"/>
      <c r="E3" s="917"/>
      <c r="F3" s="9"/>
      <c r="G3" s="9"/>
      <c r="H3" s="9"/>
      <c r="I3" s="9"/>
      <c r="J3" s="11">
        <v>3</v>
      </c>
      <c r="K3" s="11" t="str">
        <f t="shared" si="0"/>
        <v xml:space="preserve">2313 SVEUČILIŠTE J.J.STROSSMAYERA U OSIJEKU - ELEKTROTEHNIČKI FAKULTET </v>
      </c>
      <c r="L3" s="12">
        <v>2313</v>
      </c>
      <c r="M3" s="13" t="s">
        <v>212</v>
      </c>
      <c r="N3" s="13" t="s">
        <v>207</v>
      </c>
      <c r="O3" s="13" t="s">
        <v>213</v>
      </c>
      <c r="P3" s="13" t="s">
        <v>208</v>
      </c>
      <c r="Q3" s="14">
        <v>3392589</v>
      </c>
      <c r="R3" s="15" t="s">
        <v>214</v>
      </c>
      <c r="S3" s="15" t="s">
        <v>18</v>
      </c>
      <c r="T3" s="16" t="s">
        <v>17</v>
      </c>
      <c r="U3" s="9"/>
      <c r="V3" s="9"/>
      <c r="W3" s="9"/>
      <c r="X3" s="9"/>
      <c r="Y3" s="9"/>
      <c r="Z3" s="9"/>
      <c r="AA3" s="9"/>
    </row>
    <row r="4" spans="1:27" ht="18.75" customHeight="1">
      <c r="B4" s="918" t="s">
        <v>0</v>
      </c>
      <c r="C4" s="917"/>
      <c r="D4" s="917"/>
      <c r="E4" s="917"/>
      <c r="F4" s="9"/>
      <c r="G4" s="9"/>
      <c r="H4" s="9"/>
      <c r="I4" s="9"/>
      <c r="J4" s="11">
        <v>4</v>
      </c>
      <c r="K4" s="11" t="str">
        <f t="shared" si="0"/>
        <v>2321 SVEUČILIŠTE J.J STROSSMAYERA U OSIJEKU - FILOZOFSKI FAKULTET</v>
      </c>
      <c r="L4" s="12">
        <v>2321</v>
      </c>
      <c r="M4" s="13" t="s">
        <v>215</v>
      </c>
      <c r="N4" s="13" t="s">
        <v>207</v>
      </c>
      <c r="O4" s="13" t="s">
        <v>216</v>
      </c>
      <c r="P4" s="13" t="s">
        <v>208</v>
      </c>
      <c r="Q4" s="14">
        <v>3014185</v>
      </c>
      <c r="R4" s="15" t="s">
        <v>217</v>
      </c>
      <c r="S4" s="15" t="s">
        <v>18</v>
      </c>
      <c r="T4" s="16" t="s">
        <v>17</v>
      </c>
      <c r="U4" s="9"/>
      <c r="V4" s="9"/>
      <c r="W4" s="9"/>
      <c r="X4" s="9"/>
      <c r="Y4" s="9"/>
      <c r="Z4" s="9"/>
      <c r="AA4" s="9"/>
    </row>
    <row r="5" spans="1:27" ht="12" customHeight="1">
      <c r="B5" s="916"/>
      <c r="C5" s="917"/>
      <c r="D5" s="917"/>
      <c r="E5" s="917"/>
      <c r="F5" s="9"/>
      <c r="G5" s="9"/>
      <c r="H5" s="9"/>
      <c r="I5" s="9"/>
      <c r="J5" s="11">
        <v>5</v>
      </c>
      <c r="K5" s="11" t="str">
        <f t="shared" si="0"/>
        <v>2508 SVEUČILIŠTE J.J.STROSSMAYERA U OSIJEKU - GRADSKA I SVEUČILIŠNA KNJIŽNICA</v>
      </c>
      <c r="L5" s="12">
        <v>2508</v>
      </c>
      <c r="M5" s="17" t="s">
        <v>218</v>
      </c>
      <c r="N5" s="13" t="s">
        <v>207</v>
      </c>
      <c r="O5" s="17" t="s">
        <v>219</v>
      </c>
      <c r="P5" s="17" t="s">
        <v>208</v>
      </c>
      <c r="Q5" s="18">
        <v>3014347</v>
      </c>
      <c r="R5" s="15" t="s">
        <v>220</v>
      </c>
      <c r="S5" s="15" t="s">
        <v>18</v>
      </c>
      <c r="T5" s="16" t="s">
        <v>17</v>
      </c>
      <c r="U5" s="9"/>
      <c r="V5" s="9"/>
      <c r="W5" s="9"/>
      <c r="X5" s="9"/>
      <c r="Y5" s="9"/>
      <c r="Z5" s="9"/>
      <c r="AA5" s="9"/>
    </row>
    <row r="6" spans="1:27" ht="12" customHeight="1" thickBot="1">
      <c r="A6" s="19"/>
      <c r="B6" s="19"/>
      <c r="C6" s="9"/>
      <c r="D6" s="9"/>
      <c r="E6" s="9" t="s">
        <v>790</v>
      </c>
      <c r="F6" s="9"/>
      <c r="G6" s="9"/>
      <c r="H6" s="9"/>
      <c r="I6" s="9"/>
      <c r="J6" s="11">
        <v>6</v>
      </c>
      <c r="K6" s="11" t="str">
        <f t="shared" si="0"/>
        <v>2250 SVEUČILIŠTE J.J STROSSMAYERA U OSIJEKU - GRAĐEVINSKI FAKULTET</v>
      </c>
      <c r="L6" s="12">
        <v>2250</v>
      </c>
      <c r="M6" s="13" t="s">
        <v>221</v>
      </c>
      <c r="N6" s="13" t="s">
        <v>207</v>
      </c>
      <c r="O6" s="13" t="s">
        <v>222</v>
      </c>
      <c r="P6" s="13" t="s">
        <v>208</v>
      </c>
      <c r="Q6" s="14">
        <v>3397335</v>
      </c>
      <c r="R6" s="15" t="s">
        <v>223</v>
      </c>
      <c r="S6" s="15" t="s">
        <v>18</v>
      </c>
      <c r="T6" s="16" t="s">
        <v>17</v>
      </c>
      <c r="U6" s="9"/>
      <c r="V6" s="9"/>
      <c r="W6" s="9"/>
      <c r="X6" s="9"/>
      <c r="Y6" s="9"/>
      <c r="Z6" s="9"/>
      <c r="AA6" s="9"/>
    </row>
    <row r="7" spans="1:27" ht="60" customHeight="1">
      <c r="A7" s="337"/>
      <c r="B7" s="338"/>
      <c r="C7" s="338" t="s">
        <v>825</v>
      </c>
      <c r="D7" s="338" t="s">
        <v>826</v>
      </c>
      <c r="E7" s="339" t="s">
        <v>827</v>
      </c>
      <c r="F7" s="9"/>
      <c r="G7" s="9"/>
      <c r="H7" s="9"/>
      <c r="I7" s="9"/>
      <c r="J7" s="11">
        <v>7</v>
      </c>
      <c r="K7" s="11" t="str">
        <f t="shared" si="0"/>
        <v>22849 SVEUČILIŠTE J.J STROSSMAYERA U OSIJEKU - MEDICINSKI FAKULTET</v>
      </c>
      <c r="L7" s="12">
        <v>22849</v>
      </c>
      <c r="M7" s="13" t="s">
        <v>224</v>
      </c>
      <c r="N7" s="13" t="s">
        <v>207</v>
      </c>
      <c r="O7" s="13" t="s">
        <v>225</v>
      </c>
      <c r="P7" s="13" t="s">
        <v>208</v>
      </c>
      <c r="Q7" s="14">
        <v>1388142</v>
      </c>
      <c r="R7" s="15" t="s">
        <v>226</v>
      </c>
      <c r="S7" s="15" t="s">
        <v>18</v>
      </c>
      <c r="T7" s="16" t="s">
        <v>17</v>
      </c>
      <c r="U7" s="9"/>
      <c r="V7" s="9"/>
      <c r="W7" s="9"/>
      <c r="X7" s="9"/>
      <c r="Y7" s="9"/>
      <c r="Z7" s="9"/>
      <c r="AA7" s="9"/>
    </row>
    <row r="8" spans="1:27" ht="19.5" customHeight="1">
      <c r="A8" s="340"/>
      <c r="B8" s="20" t="s">
        <v>1</v>
      </c>
      <c r="C8" s="21">
        <f>SUM(C9:C10)</f>
        <v>53058658</v>
      </c>
      <c r="D8" s="21">
        <f>+D9+D10</f>
        <v>47063506.770000003</v>
      </c>
      <c r="E8" s="341">
        <f>+E9+E10</f>
        <v>58601299</v>
      </c>
      <c r="F8" s="9"/>
      <c r="G8" s="9"/>
      <c r="H8" s="9"/>
      <c r="I8" s="9"/>
      <c r="J8" s="11">
        <v>8</v>
      </c>
      <c r="K8" s="11" t="str">
        <f t="shared" si="0"/>
        <v>2268 SVEUČILIŠTE J.J STROSSMAYERA U OSIJEKU - POLJOPRIVREDNI FAKULTET</v>
      </c>
      <c r="L8" s="12">
        <v>2268</v>
      </c>
      <c r="M8" s="13" t="s">
        <v>227</v>
      </c>
      <c r="N8" s="13" t="s">
        <v>207</v>
      </c>
      <c r="O8" s="13" t="s">
        <v>228</v>
      </c>
      <c r="P8" s="13" t="s">
        <v>208</v>
      </c>
      <c r="Q8" s="14">
        <v>3058212</v>
      </c>
      <c r="R8" s="15" t="s">
        <v>229</v>
      </c>
      <c r="S8" s="15" t="s">
        <v>18</v>
      </c>
      <c r="T8" s="16" t="s">
        <v>17</v>
      </c>
      <c r="U8" s="9"/>
      <c r="V8" s="9"/>
      <c r="W8" s="9"/>
      <c r="X8" s="9"/>
      <c r="Y8" s="9"/>
      <c r="Z8" s="9"/>
      <c r="AA8" s="9"/>
    </row>
    <row r="9" spans="1:27" ht="19.5" customHeight="1">
      <c r="A9" s="342">
        <v>6</v>
      </c>
      <c r="B9" s="20" t="s">
        <v>2</v>
      </c>
      <c r="C9" s="22">
        <f>'prihodi i primici'!Q26</f>
        <v>53053658</v>
      </c>
      <c r="D9" s="22">
        <f>'prihodi i primici'!R26</f>
        <v>47060969.770000003</v>
      </c>
      <c r="E9" s="343">
        <f>'prihodi i primici'!C26</f>
        <v>58492299</v>
      </c>
      <c r="F9" s="9"/>
      <c r="G9" s="9"/>
      <c r="H9" s="9"/>
      <c r="I9" s="9"/>
      <c r="J9" s="11">
        <v>9</v>
      </c>
      <c r="K9" s="11" t="str">
        <f t="shared" si="0"/>
        <v>2292 SVEUČILIŠTE J.J STROSSMAYERA U OSIJEKU - PRAVNI FAKULTET</v>
      </c>
      <c r="L9" s="12">
        <v>2292</v>
      </c>
      <c r="M9" s="13" t="s">
        <v>230</v>
      </c>
      <c r="N9" s="13" t="s">
        <v>207</v>
      </c>
      <c r="O9" s="13" t="s">
        <v>231</v>
      </c>
      <c r="P9" s="13" t="s">
        <v>232</v>
      </c>
      <c r="Q9" s="14">
        <v>3014193</v>
      </c>
      <c r="R9" s="15" t="s">
        <v>233</v>
      </c>
      <c r="S9" s="15" t="s">
        <v>18</v>
      </c>
      <c r="T9" s="16" t="s">
        <v>17</v>
      </c>
      <c r="U9" s="9"/>
      <c r="V9" s="9"/>
      <c r="W9" s="9"/>
      <c r="X9" s="9"/>
      <c r="Y9" s="9"/>
      <c r="Z9" s="9"/>
      <c r="AA9" s="9"/>
    </row>
    <row r="10" spans="1:27" ht="19.5" customHeight="1">
      <c r="A10" s="342">
        <v>7</v>
      </c>
      <c r="B10" s="23" t="s">
        <v>3</v>
      </c>
      <c r="C10" s="22">
        <f>'prihodi i primici'!Q33</f>
        <v>5000</v>
      </c>
      <c r="D10" s="22">
        <f>'prihodi i primici'!R33</f>
        <v>2537</v>
      </c>
      <c r="E10" s="343">
        <f>'prihodi i primici'!C33</f>
        <v>109000</v>
      </c>
      <c r="F10" s="24"/>
      <c r="G10" s="9"/>
      <c r="H10" s="9"/>
      <c r="I10" s="9"/>
      <c r="J10" s="11">
        <v>10</v>
      </c>
      <c r="K10" s="11" t="str">
        <f t="shared" si="0"/>
        <v>2276 SVEUČILIŠTE J.J STROSSMAYERA U OSIJEKU - PREHRAMBENO TEHNOLOŠKI FAKULTET</v>
      </c>
      <c r="L10" s="12">
        <v>2276</v>
      </c>
      <c r="M10" s="13" t="s">
        <v>234</v>
      </c>
      <c r="N10" s="13" t="s">
        <v>207</v>
      </c>
      <c r="O10" s="13" t="s">
        <v>235</v>
      </c>
      <c r="P10" s="13" t="s">
        <v>208</v>
      </c>
      <c r="Q10" s="14">
        <v>3058204</v>
      </c>
      <c r="R10" s="15" t="s">
        <v>236</v>
      </c>
      <c r="S10" s="15" t="s">
        <v>18</v>
      </c>
      <c r="T10" s="16" t="s">
        <v>17</v>
      </c>
      <c r="U10" s="9"/>
      <c r="V10" s="9"/>
      <c r="W10" s="9"/>
      <c r="X10" s="9"/>
      <c r="Y10" s="9"/>
      <c r="Z10" s="9"/>
      <c r="AA10" s="9"/>
    </row>
    <row r="11" spans="1:27" ht="19.5" customHeight="1">
      <c r="A11" s="344"/>
      <c r="B11" s="23" t="s">
        <v>4</v>
      </c>
      <c r="C11" s="25">
        <f>SUM(C12:C13)</f>
        <v>51947457</v>
      </c>
      <c r="D11" s="25">
        <f>+D12+D13</f>
        <v>52419529.030000001</v>
      </c>
      <c r="E11" s="345">
        <f>+E12+E13</f>
        <v>58841445</v>
      </c>
      <c r="F11" s="9"/>
      <c r="G11" s="9"/>
      <c r="H11" s="9"/>
      <c r="I11" s="9"/>
      <c r="J11" s="11">
        <v>11</v>
      </c>
      <c r="K11" s="11" t="str">
        <f t="shared" si="0"/>
        <v>2305 SVEUČILIŠTE J.J STROSSMAYERA U OSIJEKU - STROJARSKI FAKULTET U SLAVONSKOME BRODU</v>
      </c>
      <c r="L11" s="12">
        <v>2305</v>
      </c>
      <c r="M11" s="13" t="s">
        <v>237</v>
      </c>
      <c r="N11" s="13" t="s">
        <v>207</v>
      </c>
      <c r="O11" s="13" t="s">
        <v>238</v>
      </c>
      <c r="P11" s="13" t="s">
        <v>239</v>
      </c>
      <c r="Q11" s="14">
        <v>3458091</v>
      </c>
      <c r="R11" s="15" t="s">
        <v>240</v>
      </c>
      <c r="S11" s="15" t="s">
        <v>18</v>
      </c>
      <c r="T11" s="16" t="s">
        <v>17</v>
      </c>
      <c r="U11" s="9"/>
      <c r="V11" s="9"/>
      <c r="W11" s="9"/>
      <c r="X11" s="9"/>
      <c r="Y11" s="9"/>
      <c r="Z11" s="9"/>
      <c r="AA11" s="9"/>
    </row>
    <row r="12" spans="1:27" ht="19.5" customHeight="1">
      <c r="A12" s="344">
        <v>3</v>
      </c>
      <c r="B12" s="20" t="s">
        <v>5</v>
      </c>
      <c r="C12" s="26">
        <f>'rashodi i izdaci'!Q4</f>
        <v>51327457</v>
      </c>
      <c r="D12" s="27">
        <f>'rashodi i izdaci'!R4</f>
        <v>51766319.210000001</v>
      </c>
      <c r="E12" s="346">
        <f>'rashodi i izdaci'!C4</f>
        <v>58121407</v>
      </c>
      <c r="F12" s="9"/>
      <c r="G12" s="9"/>
      <c r="H12" s="9"/>
      <c r="I12" s="9"/>
      <c r="J12" s="11">
        <v>12</v>
      </c>
      <c r="K12" s="11" t="str">
        <f t="shared" si="0"/>
        <v>22486 SVEUČILIŠTE J.J STROSSMAYERA U OSIJEKU - FAKULTET ZA ODGOJNE I OBRAZOVNE ZNANOSTI</v>
      </c>
      <c r="L12" s="12">
        <v>22486</v>
      </c>
      <c r="M12" s="13" t="s">
        <v>241</v>
      </c>
      <c r="N12" s="13" t="s">
        <v>207</v>
      </c>
      <c r="O12" s="13" t="s">
        <v>242</v>
      </c>
      <c r="P12" s="13" t="s">
        <v>208</v>
      </c>
      <c r="Q12" s="14">
        <v>1404881</v>
      </c>
      <c r="R12" s="15" t="s">
        <v>243</v>
      </c>
      <c r="S12" s="15" t="s">
        <v>18</v>
      </c>
      <c r="T12" s="16" t="s">
        <v>17</v>
      </c>
      <c r="U12" s="9"/>
      <c r="V12" s="9"/>
      <c r="W12" s="9"/>
      <c r="X12" s="9"/>
      <c r="Y12" s="9"/>
      <c r="Z12" s="9"/>
      <c r="AA12" s="9"/>
    </row>
    <row r="13" spans="1:27" ht="19.5" customHeight="1">
      <c r="A13" s="342">
        <v>4</v>
      </c>
      <c r="B13" s="23" t="s">
        <v>6</v>
      </c>
      <c r="C13" s="26">
        <f>'rashodi i izdaci'!Q38</f>
        <v>620000</v>
      </c>
      <c r="D13" s="27">
        <f>'rashodi i izdaci'!R38</f>
        <v>653209.82000000007</v>
      </c>
      <c r="E13" s="346">
        <f>'rashodi i izdaci'!C38</f>
        <v>720038</v>
      </c>
      <c r="F13" s="9"/>
      <c r="G13" s="9"/>
      <c r="H13" s="9"/>
      <c r="I13" s="9"/>
      <c r="J13" s="11">
        <v>13</v>
      </c>
      <c r="K13" s="11" t="str">
        <f t="shared" si="0"/>
        <v>38479 SVEUČILIŠTE J.J.STROSSMAYERA U OSIJEKU - KATOLIČKI BOGOSLOVNI FAKULTET U ĐAKOVU</v>
      </c>
      <c r="L13" s="12">
        <v>38479</v>
      </c>
      <c r="M13" s="13" t="s">
        <v>244</v>
      </c>
      <c r="N13" s="13" t="s">
        <v>207</v>
      </c>
      <c r="O13" s="13" t="s">
        <v>245</v>
      </c>
      <c r="P13" s="13" t="s">
        <v>246</v>
      </c>
      <c r="Q13" s="14">
        <v>1986490</v>
      </c>
      <c r="R13" s="15" t="s">
        <v>247</v>
      </c>
      <c r="S13" s="15" t="s">
        <v>18</v>
      </c>
      <c r="T13" s="16" t="s">
        <v>17</v>
      </c>
      <c r="U13" s="9"/>
      <c r="V13" s="9"/>
      <c r="W13" s="9"/>
      <c r="X13" s="9"/>
      <c r="Y13" s="9"/>
      <c r="Z13" s="9"/>
      <c r="AA13" s="9"/>
    </row>
    <row r="14" spans="1:27" ht="19.5" customHeight="1" thickBot="1">
      <c r="A14" s="347"/>
      <c r="B14" s="348" t="s">
        <v>7</v>
      </c>
      <c r="C14" s="349">
        <f>+C8-C11</f>
        <v>1111201</v>
      </c>
      <c r="D14" s="349">
        <f>+D8-D11</f>
        <v>-5356022.2599999979</v>
      </c>
      <c r="E14" s="350">
        <f>+E8-E11</f>
        <v>-240146</v>
      </c>
      <c r="F14" s="9"/>
      <c r="G14" s="9"/>
      <c r="H14" s="9"/>
      <c r="I14" s="9"/>
      <c r="J14" s="11">
        <v>14</v>
      </c>
      <c r="K14" s="11" t="str">
        <f t="shared" si="0"/>
        <v>49796 SVEUČILIŠTE J.J.STROSSMAYERA U OSIJEKU - FAKULTET ZA DENTALNU MEDICINU I ZDRAVSTVO</v>
      </c>
      <c r="L14" s="12">
        <v>49796</v>
      </c>
      <c r="M14" s="13" t="s">
        <v>248</v>
      </c>
      <c r="N14" s="13" t="s">
        <v>207</v>
      </c>
      <c r="O14" s="13" t="s">
        <v>249</v>
      </c>
      <c r="P14" s="13" t="s">
        <v>208</v>
      </c>
      <c r="Q14" s="14">
        <v>4748875</v>
      </c>
      <c r="R14" s="15" t="s">
        <v>250</v>
      </c>
      <c r="S14" s="15" t="s">
        <v>18</v>
      </c>
      <c r="T14" s="16" t="s">
        <v>17</v>
      </c>
      <c r="U14" s="9"/>
      <c r="V14" s="9"/>
      <c r="W14" s="9"/>
      <c r="X14" s="9"/>
      <c r="Y14" s="9"/>
      <c r="Z14" s="9"/>
      <c r="AA14" s="9"/>
    </row>
    <row r="15" spans="1:27" ht="19.5" customHeight="1" thickBot="1">
      <c r="B15" s="916"/>
      <c r="C15" s="917"/>
      <c r="D15" s="917"/>
      <c r="E15" s="917"/>
      <c r="F15" s="9"/>
      <c r="G15" s="9"/>
      <c r="H15" s="9"/>
      <c r="I15" s="9"/>
      <c r="J15" s="11">
        <v>15</v>
      </c>
      <c r="K15" s="11" t="str">
        <f t="shared" si="0"/>
        <v>50215 SVEUČILIŠTE J.J.STROSSMAYERA U OSIJEKU - AKADEMIJA ZA UMJETNOST I KULTURU U OSIJEKU</v>
      </c>
      <c r="L15" s="12">
        <v>50215</v>
      </c>
      <c r="M15" s="13" t="s">
        <v>251</v>
      </c>
      <c r="N15" s="13" t="s">
        <v>207</v>
      </c>
      <c r="O15" s="13" t="s">
        <v>252</v>
      </c>
      <c r="P15" s="13" t="s">
        <v>208</v>
      </c>
      <c r="Q15" s="14">
        <v>4907361</v>
      </c>
      <c r="R15" s="15">
        <v>60277424315</v>
      </c>
      <c r="S15" s="15" t="s">
        <v>18</v>
      </c>
      <c r="T15" s="16" t="s">
        <v>17</v>
      </c>
      <c r="U15" s="9"/>
      <c r="V15" s="9"/>
      <c r="W15" s="9"/>
      <c r="X15" s="9"/>
      <c r="Y15" s="9"/>
      <c r="Z15" s="9"/>
      <c r="AA15" s="9"/>
    </row>
    <row r="16" spans="1:27" ht="49.5" customHeight="1">
      <c r="A16" s="337"/>
      <c r="B16" s="338"/>
      <c r="C16" s="338" t="s">
        <v>825</v>
      </c>
      <c r="D16" s="338" t="s">
        <v>826</v>
      </c>
      <c r="E16" s="339" t="s">
        <v>827</v>
      </c>
      <c r="F16" s="9"/>
      <c r="G16" s="24"/>
      <c r="H16" s="9"/>
      <c r="I16" s="9"/>
      <c r="J16" s="11">
        <v>1</v>
      </c>
      <c r="K16" s="11" t="str">
        <f t="shared" si="0"/>
        <v>42024 SVEUČILIŠTE JURJA DOBRILE U PULI</v>
      </c>
      <c r="L16" s="12">
        <v>42024</v>
      </c>
      <c r="M16" s="13" t="s">
        <v>253</v>
      </c>
      <c r="N16" s="13" t="s">
        <v>253</v>
      </c>
      <c r="O16" s="13" t="s">
        <v>254</v>
      </c>
      <c r="P16" s="13" t="s">
        <v>255</v>
      </c>
      <c r="Q16" s="14">
        <v>2161753</v>
      </c>
      <c r="R16" s="15" t="s">
        <v>256</v>
      </c>
      <c r="S16" s="15" t="s">
        <v>18</v>
      </c>
      <c r="T16" s="16" t="s">
        <v>17</v>
      </c>
      <c r="U16" s="9"/>
      <c r="V16" s="9"/>
      <c r="W16" s="9"/>
      <c r="X16" s="9"/>
      <c r="Y16" s="9"/>
      <c r="Z16" s="9"/>
      <c r="AA16" s="9"/>
    </row>
    <row r="17" spans="1:27" ht="30">
      <c r="A17" s="351" t="s">
        <v>8</v>
      </c>
      <c r="B17" s="28" t="s">
        <v>9</v>
      </c>
      <c r="C17" s="26">
        <v>4300000</v>
      </c>
      <c r="D17" s="26">
        <v>6421504</v>
      </c>
      <c r="E17" s="352">
        <f>'prihodi i primici'!C5</f>
        <v>6421504</v>
      </c>
      <c r="F17" s="9"/>
      <c r="G17" s="29"/>
      <c r="H17" s="9"/>
      <c r="I17" s="9"/>
      <c r="J17" s="11">
        <v>2</v>
      </c>
      <c r="K17" s="11" t="str">
        <f t="shared" si="0"/>
        <v>48267 SVEUČILIŠTE SJEVER</v>
      </c>
      <c r="L17" s="12">
        <v>48267</v>
      </c>
      <c r="M17" s="13" t="s">
        <v>257</v>
      </c>
      <c r="N17" s="13" t="s">
        <v>257</v>
      </c>
      <c r="O17" s="13" t="s">
        <v>258</v>
      </c>
      <c r="P17" s="13" t="s">
        <v>259</v>
      </c>
      <c r="Q17" s="14">
        <v>2752298</v>
      </c>
      <c r="R17" s="15" t="s">
        <v>260</v>
      </c>
      <c r="S17" s="15" t="s">
        <v>18</v>
      </c>
      <c r="T17" s="16" t="s">
        <v>17</v>
      </c>
      <c r="U17" s="9"/>
      <c r="V17" s="9"/>
      <c r="W17" s="9"/>
      <c r="X17" s="9"/>
      <c r="Y17" s="9"/>
      <c r="Z17" s="9"/>
      <c r="AA17" s="9"/>
    </row>
    <row r="18" spans="1:27" ht="45.75" thickBot="1">
      <c r="A18" s="353" t="s">
        <v>10</v>
      </c>
      <c r="B18" s="354" t="s">
        <v>791</v>
      </c>
      <c r="C18" s="355">
        <v>-5411201</v>
      </c>
      <c r="D18" s="355">
        <v>-1065482</v>
      </c>
      <c r="E18" s="356">
        <v>-6181358</v>
      </c>
      <c r="F18" s="9"/>
      <c r="G18" s="29"/>
      <c r="H18" s="9"/>
      <c r="I18" s="9"/>
      <c r="J18" s="11">
        <v>3</v>
      </c>
      <c r="K18" s="11" t="str">
        <f t="shared" si="0"/>
        <v>24141 SVEUČILIŠTE U DUBROVNIKU</v>
      </c>
      <c r="L18" s="12">
        <v>24141</v>
      </c>
      <c r="M18" s="13" t="s">
        <v>261</v>
      </c>
      <c r="N18" s="13" t="s">
        <v>261</v>
      </c>
      <c r="O18" s="13" t="s">
        <v>262</v>
      </c>
      <c r="P18" s="13" t="s">
        <v>263</v>
      </c>
      <c r="Q18" s="14">
        <v>1787578</v>
      </c>
      <c r="R18" s="15" t="s">
        <v>264</v>
      </c>
      <c r="S18" s="15" t="s">
        <v>18</v>
      </c>
      <c r="T18" s="16" t="s">
        <v>17</v>
      </c>
      <c r="U18" s="9"/>
      <c r="V18" s="9"/>
      <c r="W18" s="9"/>
      <c r="X18" s="9"/>
      <c r="Y18" s="9"/>
      <c r="Z18" s="9"/>
      <c r="AA18" s="9"/>
    </row>
    <row r="19" spans="1:27" ht="19.5" customHeight="1" thickBot="1">
      <c r="B19" s="916"/>
      <c r="C19" s="917"/>
      <c r="D19" s="917"/>
      <c r="E19" s="917"/>
      <c r="F19" s="9"/>
      <c r="G19" s="9"/>
      <c r="H19" s="9"/>
      <c r="I19" s="9"/>
      <c r="J19" s="11">
        <v>4</v>
      </c>
      <c r="K19" s="11" t="str">
        <f t="shared" si="0"/>
        <v>23815 SVEUČILIŠTE U ZADRU</v>
      </c>
      <c r="L19" s="12">
        <v>23815</v>
      </c>
      <c r="M19" s="13" t="s">
        <v>265</v>
      </c>
      <c r="N19" s="13" t="s">
        <v>265</v>
      </c>
      <c r="O19" s="13" t="s">
        <v>266</v>
      </c>
      <c r="P19" s="13" t="s">
        <v>267</v>
      </c>
      <c r="Q19" s="14">
        <v>1695525</v>
      </c>
      <c r="R19" s="15" t="s">
        <v>268</v>
      </c>
      <c r="S19" s="15" t="s">
        <v>18</v>
      </c>
      <c r="T19" s="16" t="s">
        <v>17</v>
      </c>
      <c r="U19" s="9"/>
      <c r="V19" s="9"/>
      <c r="W19" s="9"/>
      <c r="X19" s="9"/>
      <c r="Y19" s="9"/>
      <c r="Z19" s="9"/>
      <c r="AA19" s="9"/>
    </row>
    <row r="20" spans="1:27" ht="45" customHeight="1">
      <c r="A20" s="337"/>
      <c r="B20" s="338"/>
      <c r="C20" s="338" t="s">
        <v>825</v>
      </c>
      <c r="D20" s="338" t="s">
        <v>826</v>
      </c>
      <c r="E20" s="339" t="s">
        <v>827</v>
      </c>
      <c r="F20" s="9"/>
      <c r="G20" s="30"/>
      <c r="H20" s="9"/>
      <c r="I20" s="9"/>
      <c r="J20" s="11">
        <v>1</v>
      </c>
      <c r="K20" s="11" t="str">
        <f t="shared" si="0"/>
        <v>2444 SVEUČILIŠTE U RIJECI</v>
      </c>
      <c r="L20" s="12">
        <v>2444</v>
      </c>
      <c r="M20" s="13" t="s">
        <v>269</v>
      </c>
      <c r="N20" s="13" t="s">
        <v>269</v>
      </c>
      <c r="O20" s="13" t="s">
        <v>270</v>
      </c>
      <c r="P20" s="13" t="s">
        <v>271</v>
      </c>
      <c r="Q20" s="14">
        <v>3337413</v>
      </c>
      <c r="R20" s="15" t="s">
        <v>272</v>
      </c>
      <c r="S20" s="15" t="s">
        <v>18</v>
      </c>
      <c r="T20" s="16" t="s">
        <v>17</v>
      </c>
      <c r="U20" s="9"/>
      <c r="V20" s="9"/>
      <c r="W20" s="9"/>
      <c r="X20" s="9"/>
      <c r="Y20" s="9"/>
      <c r="Z20" s="9"/>
      <c r="AA20" s="9"/>
    </row>
    <row r="21" spans="1:27" ht="30">
      <c r="A21" s="342">
        <v>8</v>
      </c>
      <c r="B21" s="20" t="s">
        <v>11</v>
      </c>
      <c r="C21" s="22">
        <f>'prihodi i primici'!Q36</f>
        <v>0</v>
      </c>
      <c r="D21" s="22">
        <f>'prihodi i primici'!R36</f>
        <v>0</v>
      </c>
      <c r="E21" s="343">
        <f>'prihodi i primici'!C36</f>
        <v>0</v>
      </c>
      <c r="F21" s="9"/>
      <c r="G21" s="9"/>
      <c r="H21" s="9"/>
      <c r="I21" s="9"/>
      <c r="J21" s="11">
        <v>2</v>
      </c>
      <c r="K21" s="11" t="str">
        <f t="shared" si="0"/>
        <v>38454 SVEUČILIŠTE U RIJECI - AKADEMIJA PRIMJENJENIH UMJETNOSTI</v>
      </c>
      <c r="L21" s="12">
        <v>38454</v>
      </c>
      <c r="M21" s="13" t="s">
        <v>273</v>
      </c>
      <c r="N21" s="13" t="s">
        <v>269</v>
      </c>
      <c r="O21" s="13" t="s">
        <v>274</v>
      </c>
      <c r="P21" s="13" t="s">
        <v>271</v>
      </c>
      <c r="Q21" s="14">
        <v>1954253</v>
      </c>
      <c r="R21" s="15" t="s">
        <v>275</v>
      </c>
      <c r="S21" s="15" t="s">
        <v>18</v>
      </c>
      <c r="T21" s="16" t="s">
        <v>17</v>
      </c>
      <c r="U21" s="9"/>
      <c r="V21" s="9"/>
      <c r="W21" s="9"/>
      <c r="X21" s="9"/>
      <c r="Y21" s="9"/>
      <c r="Z21" s="9"/>
      <c r="AA21" s="9"/>
    </row>
    <row r="22" spans="1:27" ht="30">
      <c r="A22" s="342">
        <v>5</v>
      </c>
      <c r="B22" s="20" t="s">
        <v>12</v>
      </c>
      <c r="C22" s="22">
        <f>'rashodi i izdaci'!Q58</f>
        <v>0</v>
      </c>
      <c r="D22" s="22"/>
      <c r="E22" s="343"/>
      <c r="F22" s="9"/>
      <c r="G22" s="9"/>
      <c r="H22" s="9"/>
      <c r="I22" s="9"/>
      <c r="J22" s="11">
        <v>3</v>
      </c>
      <c r="K22" s="11" t="str">
        <f t="shared" si="0"/>
        <v>2186 SVEUČILIŠTE U RIJECI - EKONOMSKI FAKULTET</v>
      </c>
      <c r="L22" s="12">
        <v>2186</v>
      </c>
      <c r="M22" s="13" t="s">
        <v>276</v>
      </c>
      <c r="N22" s="13" t="s">
        <v>269</v>
      </c>
      <c r="O22" s="13" t="s">
        <v>277</v>
      </c>
      <c r="P22" s="13" t="s">
        <v>271</v>
      </c>
      <c r="Q22" s="14">
        <v>3328627</v>
      </c>
      <c r="R22" s="15" t="s">
        <v>278</v>
      </c>
      <c r="S22" s="15" t="s">
        <v>18</v>
      </c>
      <c r="T22" s="16" t="s">
        <v>17</v>
      </c>
      <c r="U22" s="9"/>
      <c r="V22" s="9"/>
      <c r="W22" s="9"/>
      <c r="X22" s="9"/>
      <c r="Y22" s="9"/>
      <c r="Z22" s="9"/>
      <c r="AA22" s="9"/>
    </row>
    <row r="23" spans="1:27" ht="19.5" customHeight="1" thickBot="1">
      <c r="A23" s="347"/>
      <c r="B23" s="348" t="s">
        <v>13</v>
      </c>
      <c r="C23" s="357">
        <f>+C21-C22</f>
        <v>0</v>
      </c>
      <c r="D23" s="357">
        <f>+D21-D22</f>
        <v>0</v>
      </c>
      <c r="E23" s="358">
        <f>+E21-E22</f>
        <v>0</v>
      </c>
      <c r="F23" s="9"/>
      <c r="G23" s="9"/>
      <c r="H23" s="9"/>
      <c r="I23" s="9"/>
      <c r="J23" s="11">
        <v>4</v>
      </c>
      <c r="K23" s="11" t="str">
        <f t="shared" si="0"/>
        <v>2194 SVEUČILIŠTE U RIJECI - FAKULTET ZA MENADŽMENT U TURIZMU I UGOSTITELJSTVU</v>
      </c>
      <c r="L23" s="12">
        <v>2194</v>
      </c>
      <c r="M23" s="13" t="s">
        <v>279</v>
      </c>
      <c r="N23" s="13" t="s">
        <v>269</v>
      </c>
      <c r="O23" s="13" t="s">
        <v>280</v>
      </c>
      <c r="P23" s="13" t="s">
        <v>281</v>
      </c>
      <c r="Q23" s="14">
        <v>3091732</v>
      </c>
      <c r="R23" s="15" t="s">
        <v>282</v>
      </c>
      <c r="S23" s="15" t="s">
        <v>18</v>
      </c>
      <c r="T23" s="16" t="s">
        <v>17</v>
      </c>
      <c r="U23" s="9"/>
      <c r="V23" s="9"/>
      <c r="W23" s="9"/>
      <c r="X23" s="9"/>
      <c r="Y23" s="9"/>
      <c r="Z23" s="9"/>
      <c r="AA23" s="9"/>
    </row>
    <row r="24" spans="1:27" ht="19.5" customHeight="1" thickBot="1">
      <c r="B24" s="916"/>
      <c r="C24" s="917"/>
      <c r="D24" s="917"/>
      <c r="E24" s="917"/>
      <c r="F24" s="9"/>
      <c r="G24" s="9"/>
      <c r="H24" s="9"/>
      <c r="I24" s="9"/>
      <c r="J24" s="11">
        <v>5</v>
      </c>
      <c r="K24" s="11" t="str">
        <f t="shared" si="0"/>
        <v>22857 SVEUČILIŠTE U RIJECI - FILOZOFSKI FAKULTET</v>
      </c>
      <c r="L24" s="12">
        <v>22857</v>
      </c>
      <c r="M24" s="13" t="s">
        <v>283</v>
      </c>
      <c r="N24" s="13" t="s">
        <v>269</v>
      </c>
      <c r="O24" s="13" t="s">
        <v>284</v>
      </c>
      <c r="P24" s="13" t="s">
        <v>271</v>
      </c>
      <c r="Q24" s="14">
        <v>3368491</v>
      </c>
      <c r="R24" s="15" t="s">
        <v>285</v>
      </c>
      <c r="S24" s="15" t="s">
        <v>18</v>
      </c>
      <c r="T24" s="16" t="s">
        <v>17</v>
      </c>
      <c r="U24" s="9"/>
      <c r="V24" s="9"/>
      <c r="W24" s="9"/>
      <c r="X24" s="9"/>
      <c r="Y24" s="9"/>
      <c r="Z24" s="9"/>
      <c r="AA24" s="9"/>
    </row>
    <row r="25" spans="1:27" ht="30.75" thickBot="1">
      <c r="A25" s="359"/>
      <c r="B25" s="360" t="s">
        <v>14</v>
      </c>
      <c r="C25" s="361">
        <f>+C14+C17+C18+C23</f>
        <v>0</v>
      </c>
      <c r="D25" s="361">
        <f>+D14+D17+D18+D23</f>
        <v>-0.25999999791383743</v>
      </c>
      <c r="E25" s="362">
        <f>+E14+E17+E18+E23</f>
        <v>0</v>
      </c>
      <c r="F25" s="31"/>
      <c r="G25" s="9"/>
      <c r="H25" s="9"/>
      <c r="I25" s="9"/>
      <c r="J25" s="11">
        <v>6</v>
      </c>
      <c r="K25" s="11" t="str">
        <f t="shared" si="0"/>
        <v>2160 SVEUČILIŠTE U RIJECI - GRAĐEVINSKI FAKULTET U RIJECI</v>
      </c>
      <c r="L25" s="12">
        <v>2160</v>
      </c>
      <c r="M25" s="13" t="s">
        <v>286</v>
      </c>
      <c r="N25" s="13" t="s">
        <v>269</v>
      </c>
      <c r="O25" s="13" t="s">
        <v>287</v>
      </c>
      <c r="P25" s="13" t="s">
        <v>271</v>
      </c>
      <c r="Q25" s="14">
        <v>3395855</v>
      </c>
      <c r="R25" s="15" t="s">
        <v>288</v>
      </c>
      <c r="S25" s="15" t="s">
        <v>18</v>
      </c>
      <c r="T25" s="16" t="s">
        <v>17</v>
      </c>
      <c r="U25" s="9"/>
      <c r="V25" s="9"/>
      <c r="W25" s="9"/>
      <c r="X25" s="9"/>
      <c r="Y25" s="9"/>
      <c r="Z25" s="9"/>
      <c r="AA25" s="9"/>
    </row>
    <row r="26" spans="1:27" ht="18.75" customHeight="1">
      <c r="A26" s="19"/>
      <c r="B26" s="19"/>
      <c r="C26" s="9"/>
      <c r="D26" s="9"/>
      <c r="E26" s="9"/>
      <c r="F26" s="9"/>
      <c r="G26" s="9"/>
      <c r="H26" s="9"/>
      <c r="I26" s="9"/>
      <c r="J26" s="11">
        <v>7</v>
      </c>
      <c r="K26" s="11" t="str">
        <f t="shared" si="0"/>
        <v>2225 SVEUČILIŠTE U RIJECI - MEDICINSKI FAKULTET</v>
      </c>
      <c r="L26" s="12">
        <v>2225</v>
      </c>
      <c r="M26" s="13" t="s">
        <v>289</v>
      </c>
      <c r="N26" s="13" t="s">
        <v>269</v>
      </c>
      <c r="O26" s="13" t="s">
        <v>290</v>
      </c>
      <c r="P26" s="13" t="s">
        <v>271</v>
      </c>
      <c r="Q26" s="14">
        <v>3328554</v>
      </c>
      <c r="R26" s="15" t="s">
        <v>291</v>
      </c>
      <c r="S26" s="15" t="s">
        <v>18</v>
      </c>
      <c r="T26" s="16" t="s">
        <v>17</v>
      </c>
      <c r="U26" s="9"/>
      <c r="V26" s="9"/>
      <c r="W26" s="9"/>
      <c r="X26" s="9"/>
      <c r="Y26" s="9"/>
      <c r="Z26" s="9"/>
      <c r="AA26" s="9"/>
    </row>
    <row r="27" spans="1:27" ht="15.75" hidden="1">
      <c r="A27" s="32"/>
      <c r="B27" s="32"/>
      <c r="C27" s="32"/>
      <c r="D27" s="32"/>
      <c r="E27" s="32"/>
      <c r="F27" s="33"/>
      <c r="G27" s="33"/>
      <c r="H27" s="33"/>
      <c r="I27" s="33"/>
      <c r="J27" s="11">
        <v>8</v>
      </c>
      <c r="K27" s="11" t="str">
        <f t="shared" si="0"/>
        <v>22568 SVEUČILIŠTE U RIJECI - POMORSKI FAKULTET</v>
      </c>
      <c r="L27" s="12">
        <v>22568</v>
      </c>
      <c r="M27" s="13" t="s">
        <v>292</v>
      </c>
      <c r="N27" s="13" t="s">
        <v>269</v>
      </c>
      <c r="O27" s="13" t="s">
        <v>293</v>
      </c>
      <c r="P27" s="13" t="s">
        <v>271</v>
      </c>
      <c r="Q27" s="14">
        <v>1580485</v>
      </c>
      <c r="R27" s="15" t="s">
        <v>294</v>
      </c>
      <c r="S27" s="15" t="s">
        <v>18</v>
      </c>
      <c r="T27" s="16" t="s">
        <v>17</v>
      </c>
      <c r="U27" s="33"/>
      <c r="V27" s="33"/>
      <c r="W27" s="33"/>
      <c r="X27" s="33"/>
      <c r="Y27" s="33"/>
      <c r="Z27" s="33"/>
      <c r="AA27" s="33"/>
    </row>
    <row r="28" spans="1:27" ht="15.75" hidden="1">
      <c r="A28" s="9"/>
      <c r="B28" s="9"/>
      <c r="C28" s="9"/>
      <c r="D28" s="9"/>
      <c r="E28" s="9"/>
      <c r="F28" s="9"/>
      <c r="G28" s="9"/>
      <c r="H28" s="9"/>
      <c r="I28" s="9"/>
      <c r="J28" s="11">
        <v>9</v>
      </c>
      <c r="K28" s="11" t="str">
        <f t="shared" si="0"/>
        <v>2217 SVEUČILIŠTE U RIJECI - PRAVNI FAKULTET</v>
      </c>
      <c r="L28" s="12">
        <v>2217</v>
      </c>
      <c r="M28" s="13" t="s">
        <v>295</v>
      </c>
      <c r="N28" s="13" t="s">
        <v>269</v>
      </c>
      <c r="O28" s="13" t="s">
        <v>296</v>
      </c>
      <c r="P28" s="13" t="s">
        <v>271</v>
      </c>
      <c r="Q28" s="14">
        <v>3328562</v>
      </c>
      <c r="R28" s="15" t="s">
        <v>297</v>
      </c>
      <c r="S28" s="15" t="s">
        <v>18</v>
      </c>
      <c r="T28" s="16" t="s">
        <v>17</v>
      </c>
      <c r="U28" s="9"/>
      <c r="V28" s="9"/>
      <c r="W28" s="9"/>
      <c r="X28" s="9"/>
      <c r="Y28" s="9"/>
      <c r="Z28" s="9"/>
      <c r="AA28" s="9"/>
    </row>
    <row r="29" spans="1:27" ht="15.75" hidden="1">
      <c r="A29" s="9"/>
      <c r="B29" s="9"/>
      <c r="C29" s="9"/>
      <c r="D29" s="9"/>
      <c r="E29" s="9"/>
      <c r="F29" s="9"/>
      <c r="G29" s="9"/>
      <c r="H29" s="9"/>
      <c r="I29" s="9"/>
      <c r="J29" s="11">
        <v>10</v>
      </c>
      <c r="K29" s="11" t="str">
        <f t="shared" si="0"/>
        <v>2493 SVEUČILIŠTE U RIJECI - SVEUČILIŠNA KNJIŽNICA</v>
      </c>
      <c r="L29" s="12">
        <v>2493</v>
      </c>
      <c r="M29" s="13" t="s">
        <v>298</v>
      </c>
      <c r="N29" s="13" t="s">
        <v>269</v>
      </c>
      <c r="O29" s="13" t="s">
        <v>299</v>
      </c>
      <c r="P29" s="13" t="s">
        <v>271</v>
      </c>
      <c r="Q29" s="14">
        <v>3328686</v>
      </c>
      <c r="R29" s="15" t="s">
        <v>300</v>
      </c>
      <c r="S29" s="15" t="s">
        <v>18</v>
      </c>
      <c r="T29" s="16" t="s">
        <v>17</v>
      </c>
      <c r="U29" s="9"/>
      <c r="V29" s="9"/>
      <c r="W29" s="9"/>
      <c r="X29" s="9"/>
      <c r="Y29" s="9"/>
      <c r="Z29" s="9"/>
      <c r="AA29" s="9"/>
    </row>
    <row r="30" spans="1:27" ht="15.75" hidden="1">
      <c r="A30" s="9"/>
      <c r="B30" s="9"/>
      <c r="C30" s="9"/>
      <c r="D30" s="9"/>
      <c r="E30" s="9"/>
      <c r="F30" s="9"/>
      <c r="G30" s="9"/>
      <c r="H30" s="9"/>
      <c r="I30" s="9"/>
      <c r="J30" s="11">
        <v>11</v>
      </c>
      <c r="K30" s="11" t="str">
        <f t="shared" si="0"/>
        <v>2151 SVEUČILIŠTE U RIJECI - TEHNIČKI FAKULTET</v>
      </c>
      <c r="L30" s="12">
        <v>2151</v>
      </c>
      <c r="M30" s="13" t="s">
        <v>301</v>
      </c>
      <c r="N30" s="13" t="s">
        <v>269</v>
      </c>
      <c r="O30" s="13" t="s">
        <v>302</v>
      </c>
      <c r="P30" s="13" t="s">
        <v>271</v>
      </c>
      <c r="Q30" s="14">
        <v>3334317</v>
      </c>
      <c r="R30" s="15" t="s">
        <v>303</v>
      </c>
      <c r="S30" s="15" t="s">
        <v>18</v>
      </c>
      <c r="T30" s="16" t="s">
        <v>17</v>
      </c>
      <c r="U30" s="9"/>
      <c r="V30" s="9"/>
      <c r="W30" s="9"/>
      <c r="X30" s="9"/>
      <c r="Y30" s="9"/>
      <c r="Z30" s="9"/>
      <c r="AA30" s="9"/>
    </row>
    <row r="31" spans="1:27" ht="15.75" hidden="1">
      <c r="A31" s="9"/>
      <c r="B31" s="9"/>
      <c r="C31" s="9"/>
      <c r="D31" s="9"/>
      <c r="E31" s="9"/>
      <c r="F31" s="9"/>
      <c r="G31" s="9"/>
      <c r="H31" s="9"/>
      <c r="I31" s="9"/>
      <c r="J31" s="11">
        <v>12</v>
      </c>
      <c r="K31" s="11" t="str">
        <f t="shared" si="0"/>
        <v>40947 SVEUČILIŠTE U RIJECI - UČITELJSKI FAKULTET</v>
      </c>
      <c r="L31" s="12">
        <v>40947</v>
      </c>
      <c r="M31" s="13" t="s">
        <v>304</v>
      </c>
      <c r="N31" s="13" t="s">
        <v>269</v>
      </c>
      <c r="O31" s="13" t="s">
        <v>305</v>
      </c>
      <c r="P31" s="13" t="s">
        <v>271</v>
      </c>
      <c r="Q31" s="14">
        <v>2116073</v>
      </c>
      <c r="R31" s="15" t="s">
        <v>306</v>
      </c>
      <c r="S31" s="15" t="s">
        <v>18</v>
      </c>
      <c r="T31" s="16" t="s">
        <v>17</v>
      </c>
      <c r="U31" s="9"/>
      <c r="V31" s="9"/>
      <c r="W31" s="9"/>
      <c r="X31" s="9"/>
      <c r="Y31" s="9"/>
      <c r="Z31" s="9"/>
      <c r="AA31" s="9"/>
    </row>
    <row r="32" spans="1:27" ht="15.75" hidden="1">
      <c r="A32" s="9"/>
      <c r="B32" s="9"/>
      <c r="C32" s="9"/>
      <c r="D32" s="9"/>
      <c r="E32" s="9"/>
      <c r="F32" s="9"/>
      <c r="G32" s="9"/>
      <c r="H32" s="9"/>
      <c r="I32" s="9"/>
      <c r="J32" s="11">
        <v>13</v>
      </c>
      <c r="K32" s="11" t="str">
        <f t="shared" si="0"/>
        <v>48023 SVEUČILIŠTE U RIJECI - FAKULTET ZDRAVSTVENIH STUDIJA U RIJECI</v>
      </c>
      <c r="L32" s="12">
        <v>48023</v>
      </c>
      <c r="M32" s="13" t="s">
        <v>307</v>
      </c>
      <c r="N32" s="13" t="s">
        <v>269</v>
      </c>
      <c r="O32" s="13" t="s">
        <v>308</v>
      </c>
      <c r="P32" s="13" t="s">
        <v>271</v>
      </c>
      <c r="Q32" s="34" t="s">
        <v>309</v>
      </c>
      <c r="R32" s="15" t="s">
        <v>310</v>
      </c>
      <c r="S32" s="15" t="s">
        <v>18</v>
      </c>
      <c r="T32" s="16" t="s">
        <v>17</v>
      </c>
      <c r="U32" s="9"/>
      <c r="V32" s="9"/>
      <c r="W32" s="9"/>
      <c r="X32" s="9"/>
      <c r="Y32" s="9"/>
      <c r="Z32" s="9"/>
      <c r="AA32" s="9"/>
    </row>
    <row r="33" spans="1:27" ht="15.75" hidden="1">
      <c r="A33" s="9"/>
      <c r="B33" s="9"/>
      <c r="C33" s="9"/>
      <c r="D33" s="9"/>
      <c r="E33" s="9"/>
      <c r="F33" s="9"/>
      <c r="G33" s="9"/>
      <c r="H33" s="9"/>
      <c r="I33" s="9"/>
      <c r="J33" s="11">
        <v>1</v>
      </c>
      <c r="K33" s="11" t="str">
        <f t="shared" si="0"/>
        <v>2469 SVEUČILIŠTE U SPLITU</v>
      </c>
      <c r="L33" s="12">
        <v>2469</v>
      </c>
      <c r="M33" s="13" t="s">
        <v>311</v>
      </c>
      <c r="N33" s="13" t="s">
        <v>311</v>
      </c>
      <c r="O33" s="13" t="s">
        <v>312</v>
      </c>
      <c r="P33" s="13" t="s">
        <v>313</v>
      </c>
      <c r="Q33" s="14">
        <v>3129306</v>
      </c>
      <c r="R33" s="15" t="s">
        <v>314</v>
      </c>
      <c r="S33" s="15" t="s">
        <v>18</v>
      </c>
      <c r="T33" s="16" t="s">
        <v>17</v>
      </c>
      <c r="U33" s="9"/>
      <c r="V33" s="9"/>
      <c r="W33" s="9"/>
      <c r="X33" s="9"/>
      <c r="Y33" s="9"/>
      <c r="Z33" s="9"/>
      <c r="AA33" s="9"/>
    </row>
    <row r="34" spans="1:27" ht="15.75" hidden="1">
      <c r="A34" s="9"/>
      <c r="B34" s="9"/>
      <c r="C34" s="9"/>
      <c r="D34" s="9"/>
      <c r="E34" s="9"/>
      <c r="F34" s="9"/>
      <c r="G34" s="9"/>
      <c r="H34" s="9"/>
      <c r="I34" s="9"/>
      <c r="J34" s="11">
        <v>2</v>
      </c>
      <c r="K34" s="11" t="str">
        <f t="shared" si="0"/>
        <v>2372 SVEUČILIŠTE U SPLITU - EKONOMSKI FAKULTET</v>
      </c>
      <c r="L34" s="12">
        <v>2372</v>
      </c>
      <c r="M34" s="13" t="s">
        <v>315</v>
      </c>
      <c r="N34" s="13" t="s">
        <v>311</v>
      </c>
      <c r="O34" s="13" t="s">
        <v>316</v>
      </c>
      <c r="P34" s="13" t="s">
        <v>313</v>
      </c>
      <c r="Q34" s="14">
        <v>3119076</v>
      </c>
      <c r="R34" s="15" t="s">
        <v>317</v>
      </c>
      <c r="S34" s="15" t="s">
        <v>18</v>
      </c>
      <c r="T34" s="16" t="s">
        <v>17</v>
      </c>
      <c r="U34" s="9"/>
      <c r="V34" s="9"/>
      <c r="W34" s="9"/>
      <c r="X34" s="9"/>
      <c r="Y34" s="9"/>
      <c r="Z34" s="9"/>
      <c r="AA34" s="9"/>
    </row>
    <row r="35" spans="1:27" ht="15.75" hidden="1">
      <c r="A35" s="9"/>
      <c r="B35" s="9"/>
      <c r="C35" s="9"/>
      <c r="D35" s="9"/>
      <c r="E35" s="9"/>
      <c r="F35" s="9"/>
      <c r="G35" s="9"/>
      <c r="H35" s="9"/>
      <c r="I35" s="9"/>
      <c r="J35" s="11">
        <v>3</v>
      </c>
      <c r="K35" s="11" t="str">
        <f t="shared" si="0"/>
        <v>2330 SVEUČILIŠTE U SPLITU - FAKULTET ELEKTROTEHNIKE, STROJARSTVA I BRODOGRADNJE</v>
      </c>
      <c r="L35" s="12">
        <v>2330</v>
      </c>
      <c r="M35" s="13" t="s">
        <v>318</v>
      </c>
      <c r="N35" s="13" t="s">
        <v>311</v>
      </c>
      <c r="O35" s="13" t="s">
        <v>319</v>
      </c>
      <c r="P35" s="13" t="s">
        <v>313</v>
      </c>
      <c r="Q35" s="14">
        <v>3118339</v>
      </c>
      <c r="R35" s="15" t="s">
        <v>320</v>
      </c>
      <c r="S35" s="15" t="s">
        <v>18</v>
      </c>
      <c r="T35" s="16" t="s">
        <v>17</v>
      </c>
      <c r="U35" s="9"/>
      <c r="V35" s="9"/>
      <c r="W35" s="9"/>
      <c r="X35" s="9"/>
      <c r="Y35" s="9"/>
      <c r="Z35" s="9"/>
      <c r="AA35" s="9"/>
    </row>
    <row r="36" spans="1:27" ht="15.75" hidden="1">
      <c r="A36" s="9"/>
      <c r="B36" s="9"/>
      <c r="C36" s="9"/>
      <c r="D36" s="9"/>
      <c r="E36" s="9"/>
      <c r="F36" s="9"/>
      <c r="G36" s="9"/>
      <c r="H36" s="9"/>
      <c r="I36" s="9"/>
      <c r="J36" s="11">
        <v>4</v>
      </c>
      <c r="K36" s="11" t="str">
        <f t="shared" si="0"/>
        <v>22435 SVEUČILIŠTE U SPLITU - FILOZOFSKI FAKULTET</v>
      </c>
      <c r="L36" s="12">
        <v>22435</v>
      </c>
      <c r="M36" s="13" t="s">
        <v>321</v>
      </c>
      <c r="N36" s="13" t="s">
        <v>311</v>
      </c>
      <c r="O36" s="13" t="s">
        <v>322</v>
      </c>
      <c r="P36" s="13" t="s">
        <v>313</v>
      </c>
      <c r="Q36" s="14">
        <v>1413236</v>
      </c>
      <c r="R36" s="15" t="s">
        <v>323</v>
      </c>
      <c r="S36" s="15" t="s">
        <v>18</v>
      </c>
      <c r="T36" s="16" t="s">
        <v>17</v>
      </c>
      <c r="U36" s="9"/>
      <c r="V36" s="9"/>
      <c r="W36" s="9"/>
      <c r="X36" s="9"/>
      <c r="Y36" s="9"/>
      <c r="Z36" s="9"/>
      <c r="AA36" s="9"/>
    </row>
    <row r="37" spans="1:27" ht="15.75" hidden="1">
      <c r="A37" s="9"/>
      <c r="B37" s="9"/>
      <c r="C37" s="9"/>
      <c r="D37" s="9"/>
      <c r="E37" s="9"/>
      <c r="F37" s="9"/>
      <c r="G37" s="9"/>
      <c r="H37" s="9"/>
      <c r="I37" s="9"/>
      <c r="J37" s="11">
        <v>5</v>
      </c>
      <c r="K37" s="11" t="str">
        <f t="shared" si="0"/>
        <v>2348 SVEUČILIŠTE U SPLITU - FAKULTET GRAĐEVINARSTVA, ARHITEKTURE I GEODEZIJE</v>
      </c>
      <c r="L37" s="12">
        <v>2348</v>
      </c>
      <c r="M37" s="13" t="s">
        <v>324</v>
      </c>
      <c r="N37" s="13" t="s">
        <v>311</v>
      </c>
      <c r="O37" s="13" t="s">
        <v>325</v>
      </c>
      <c r="P37" s="13" t="s">
        <v>313</v>
      </c>
      <c r="Q37" s="14">
        <v>3149463</v>
      </c>
      <c r="R37" s="15" t="s">
        <v>326</v>
      </c>
      <c r="S37" s="15" t="s">
        <v>18</v>
      </c>
      <c r="T37" s="16" t="s">
        <v>17</v>
      </c>
      <c r="U37" s="9"/>
      <c r="V37" s="9"/>
      <c r="W37" s="9"/>
      <c r="X37" s="9"/>
      <c r="Y37" s="9"/>
      <c r="Z37" s="9"/>
      <c r="AA37" s="9"/>
    </row>
    <row r="38" spans="1:27" ht="15.75" hidden="1">
      <c r="A38" s="9"/>
      <c r="B38" s="9"/>
      <c r="C38" s="9"/>
      <c r="D38" s="9"/>
      <c r="E38" s="9"/>
      <c r="F38" s="9"/>
      <c r="G38" s="9"/>
      <c r="H38" s="9"/>
      <c r="I38" s="9"/>
      <c r="J38" s="11">
        <v>6</v>
      </c>
      <c r="K38" s="11" t="str">
        <f t="shared" si="0"/>
        <v>2356 SVEUČILIŠTE U SPLITU - KEMIJSKO-TEHNOLOŠKI FAKULTET</v>
      </c>
      <c r="L38" s="12">
        <v>2356</v>
      </c>
      <c r="M38" s="13" t="s">
        <v>327</v>
      </c>
      <c r="N38" s="13" t="s">
        <v>311</v>
      </c>
      <c r="O38" s="13" t="s">
        <v>328</v>
      </c>
      <c r="P38" s="13" t="s">
        <v>313</v>
      </c>
      <c r="Q38" s="14">
        <v>3119068</v>
      </c>
      <c r="R38" s="15" t="s">
        <v>329</v>
      </c>
      <c r="S38" s="15" t="s">
        <v>18</v>
      </c>
      <c r="T38" s="16" t="s">
        <v>17</v>
      </c>
      <c r="U38" s="9"/>
      <c r="V38" s="9"/>
      <c r="W38" s="9"/>
      <c r="X38" s="9"/>
      <c r="Y38" s="9"/>
      <c r="Z38" s="9"/>
      <c r="AA38" s="9"/>
    </row>
    <row r="39" spans="1:27" ht="15.75" hidden="1">
      <c r="A39" s="9"/>
      <c r="B39" s="9"/>
      <c r="C39" s="9"/>
      <c r="D39" s="9"/>
      <c r="E39" s="9"/>
      <c r="F39" s="9"/>
      <c r="G39" s="9"/>
      <c r="H39" s="9"/>
      <c r="I39" s="9"/>
      <c r="J39" s="11">
        <v>7</v>
      </c>
      <c r="K39" s="11" t="str">
        <f t="shared" si="0"/>
        <v>43773 SVEUČILIŠTE U SPLITU - KINEZIOLOŠKI FAKULTET</v>
      </c>
      <c r="L39" s="12">
        <v>43773</v>
      </c>
      <c r="M39" s="13" t="s">
        <v>330</v>
      </c>
      <c r="N39" s="13" t="s">
        <v>311</v>
      </c>
      <c r="O39" s="13" t="s">
        <v>331</v>
      </c>
      <c r="P39" s="13" t="s">
        <v>313</v>
      </c>
      <c r="Q39" s="14">
        <v>2393255</v>
      </c>
      <c r="R39" s="15" t="s">
        <v>332</v>
      </c>
      <c r="S39" s="15" t="s">
        <v>18</v>
      </c>
      <c r="T39" s="16" t="s">
        <v>17</v>
      </c>
      <c r="U39" s="9"/>
      <c r="V39" s="9"/>
      <c r="W39" s="9"/>
      <c r="X39" s="9"/>
      <c r="Y39" s="9"/>
      <c r="Z39" s="9"/>
      <c r="AA39" s="9"/>
    </row>
    <row r="40" spans="1:27" ht="15.75" hidden="1">
      <c r="A40" s="9"/>
      <c r="B40" s="9"/>
      <c r="C40" s="9"/>
      <c r="D40" s="9"/>
      <c r="E40" s="9"/>
      <c r="F40" s="9"/>
      <c r="G40" s="9"/>
      <c r="H40" s="9"/>
      <c r="I40" s="9"/>
      <c r="J40" s="11">
        <v>8</v>
      </c>
      <c r="K40" s="11" t="str">
        <f t="shared" si="0"/>
        <v>23368 SVEUČILIŠTE U SPLITU - KATOLIČKI BOGOSLOVNI FAKULTET</v>
      </c>
      <c r="L40" s="35">
        <v>23368</v>
      </c>
      <c r="M40" s="13" t="s">
        <v>333</v>
      </c>
      <c r="N40" s="13" t="s">
        <v>311</v>
      </c>
      <c r="O40" s="13" t="s">
        <v>334</v>
      </c>
      <c r="P40" s="13" t="s">
        <v>313</v>
      </c>
      <c r="Q40" s="14">
        <v>1465643</v>
      </c>
      <c r="R40" s="15">
        <v>36149548625</v>
      </c>
      <c r="S40" s="15" t="s">
        <v>18</v>
      </c>
      <c r="T40" s="16" t="s">
        <v>17</v>
      </c>
      <c r="U40" s="9"/>
      <c r="V40" s="9"/>
      <c r="W40" s="9"/>
      <c r="X40" s="9"/>
      <c r="Y40" s="9"/>
      <c r="Z40" s="9"/>
      <c r="AA40" s="9"/>
    </row>
    <row r="41" spans="1:27" ht="15.75" hidden="1">
      <c r="A41" s="9"/>
      <c r="B41" s="9"/>
      <c r="C41" s="9"/>
      <c r="D41" s="9"/>
      <c r="E41" s="9"/>
      <c r="F41" s="9"/>
      <c r="G41" s="9"/>
      <c r="H41" s="9"/>
      <c r="I41" s="9"/>
      <c r="J41" s="11">
        <v>9</v>
      </c>
      <c r="K41" s="11" t="str">
        <f t="shared" si="0"/>
        <v>22451 SVEUČILIŠTE U SPLITU - MEDICINSKI FAKULTET</v>
      </c>
      <c r="L41" s="12">
        <v>22451</v>
      </c>
      <c r="M41" s="13" t="s">
        <v>335</v>
      </c>
      <c r="N41" s="13" t="s">
        <v>311</v>
      </c>
      <c r="O41" s="13" t="s">
        <v>336</v>
      </c>
      <c r="P41" s="13" t="s">
        <v>313</v>
      </c>
      <c r="Q41" s="14">
        <v>1315366</v>
      </c>
      <c r="R41" s="15" t="s">
        <v>337</v>
      </c>
      <c r="S41" s="15" t="s">
        <v>18</v>
      </c>
      <c r="T41" s="16" t="s">
        <v>17</v>
      </c>
      <c r="U41" s="9"/>
      <c r="V41" s="9"/>
      <c r="W41" s="9"/>
      <c r="X41" s="9"/>
      <c r="Y41" s="9"/>
      <c r="Z41" s="9"/>
      <c r="AA41" s="9"/>
    </row>
    <row r="42" spans="1:27" ht="15.75" hidden="1">
      <c r="A42" s="9"/>
      <c r="B42" s="9"/>
      <c r="C42" s="9"/>
      <c r="D42" s="9"/>
      <c r="E42" s="9"/>
      <c r="F42" s="9"/>
      <c r="G42" s="9"/>
      <c r="H42" s="9"/>
      <c r="I42" s="9"/>
      <c r="J42" s="11">
        <v>10</v>
      </c>
      <c r="K42" s="11" t="str">
        <f t="shared" si="0"/>
        <v>22460 SVEUČILIŠTE U SPLITU - POMORSKI FAKULTET</v>
      </c>
      <c r="L42" s="12">
        <v>22460</v>
      </c>
      <c r="M42" s="13" t="s">
        <v>338</v>
      </c>
      <c r="N42" s="13" t="s">
        <v>311</v>
      </c>
      <c r="O42" s="13" t="s">
        <v>339</v>
      </c>
      <c r="P42" s="13" t="s">
        <v>313</v>
      </c>
      <c r="Q42" s="14">
        <v>1406043</v>
      </c>
      <c r="R42" s="15" t="s">
        <v>340</v>
      </c>
      <c r="S42" s="15" t="s">
        <v>18</v>
      </c>
      <c r="T42" s="16" t="s">
        <v>17</v>
      </c>
      <c r="U42" s="9"/>
      <c r="V42" s="9"/>
      <c r="W42" s="9"/>
      <c r="X42" s="9"/>
      <c r="Y42" s="9"/>
      <c r="Z42" s="9"/>
      <c r="AA42" s="9"/>
    </row>
    <row r="43" spans="1:27" ht="15.75" hidden="1">
      <c r="A43" s="9"/>
      <c r="B43" s="9"/>
      <c r="C43" s="9"/>
      <c r="D43" s="9"/>
      <c r="E43" s="9"/>
      <c r="F43" s="9"/>
      <c r="G43" s="9"/>
      <c r="H43" s="9"/>
      <c r="I43" s="9"/>
      <c r="J43" s="11">
        <v>11</v>
      </c>
      <c r="K43" s="11" t="str">
        <f t="shared" si="0"/>
        <v>2397 SVEUČILIŠTE U SPLITU - PRAVNI FAKULTET</v>
      </c>
      <c r="L43" s="12">
        <v>2397</v>
      </c>
      <c r="M43" s="13" t="s">
        <v>341</v>
      </c>
      <c r="N43" s="13" t="s">
        <v>311</v>
      </c>
      <c r="O43" s="13" t="s">
        <v>342</v>
      </c>
      <c r="P43" s="13" t="s">
        <v>313</v>
      </c>
      <c r="Q43" s="14">
        <v>3118347</v>
      </c>
      <c r="R43" s="15" t="s">
        <v>343</v>
      </c>
      <c r="S43" s="15" t="s">
        <v>18</v>
      </c>
      <c r="T43" s="16" t="s">
        <v>17</v>
      </c>
      <c r="U43" s="9"/>
      <c r="V43" s="9"/>
      <c r="W43" s="9"/>
      <c r="X43" s="9"/>
      <c r="Y43" s="9"/>
      <c r="Z43" s="9"/>
      <c r="AA43" s="9"/>
    </row>
    <row r="44" spans="1:27" ht="15.75" hidden="1">
      <c r="A44" s="9"/>
      <c r="B44" s="9"/>
      <c r="C44" s="9"/>
      <c r="D44" s="9"/>
      <c r="E44" s="9"/>
      <c r="F44" s="9"/>
      <c r="G44" s="9"/>
      <c r="H44" s="9"/>
      <c r="I44" s="9"/>
      <c r="J44" s="11">
        <v>12</v>
      </c>
      <c r="K44" s="11" t="str">
        <f t="shared" si="0"/>
        <v>2410 SVEUČILIŠTE U SPLITU - PRIRODOSLOVNO - MATEMATIČKI FAKULTET</v>
      </c>
      <c r="L44" s="12">
        <v>2410</v>
      </c>
      <c r="M44" s="13" t="s">
        <v>344</v>
      </c>
      <c r="N44" s="13" t="s">
        <v>311</v>
      </c>
      <c r="O44" s="13" t="s">
        <v>345</v>
      </c>
      <c r="P44" s="13" t="s">
        <v>313</v>
      </c>
      <c r="Q44" s="14">
        <v>3199622</v>
      </c>
      <c r="R44" s="15" t="s">
        <v>346</v>
      </c>
      <c r="S44" s="15" t="s">
        <v>18</v>
      </c>
      <c r="T44" s="16" t="s">
        <v>17</v>
      </c>
      <c r="U44" s="9"/>
      <c r="V44" s="9"/>
      <c r="W44" s="9"/>
      <c r="X44" s="9"/>
      <c r="Y44" s="9"/>
      <c r="Z44" s="9"/>
      <c r="AA44" s="9"/>
    </row>
    <row r="45" spans="1:27" ht="15.75" hidden="1">
      <c r="A45" s="9"/>
      <c r="B45" s="9"/>
      <c r="C45" s="9"/>
      <c r="D45" s="9"/>
      <c r="E45" s="9"/>
      <c r="F45" s="9"/>
      <c r="G45" s="9"/>
      <c r="H45" s="9"/>
      <c r="I45" s="9"/>
      <c r="J45" s="11">
        <v>13</v>
      </c>
      <c r="K45" s="11" t="str">
        <f t="shared" si="0"/>
        <v>2524 SVEUČILIŠTE U SPLITU - SVEUČILIŠNA KNJIŽNICA</v>
      </c>
      <c r="L45" s="12">
        <v>2524</v>
      </c>
      <c r="M45" s="13" t="s">
        <v>347</v>
      </c>
      <c r="N45" s="13" t="s">
        <v>311</v>
      </c>
      <c r="O45" s="13" t="s">
        <v>348</v>
      </c>
      <c r="P45" s="13" t="s">
        <v>313</v>
      </c>
      <c r="Q45" s="14">
        <v>3118436</v>
      </c>
      <c r="R45" s="15" t="s">
        <v>349</v>
      </c>
      <c r="S45" s="15" t="s">
        <v>18</v>
      </c>
      <c r="T45" s="16" t="s">
        <v>17</v>
      </c>
      <c r="U45" s="9"/>
      <c r="V45" s="9"/>
      <c r="W45" s="9"/>
      <c r="X45" s="9"/>
      <c r="Y45" s="9"/>
      <c r="Z45" s="9"/>
      <c r="AA45" s="9"/>
    </row>
    <row r="46" spans="1:27" ht="15.75" hidden="1">
      <c r="A46" s="9"/>
      <c r="B46" s="9"/>
      <c r="C46" s="9"/>
      <c r="D46" s="9"/>
      <c r="E46" s="9"/>
      <c r="F46" s="9"/>
      <c r="G46" s="9"/>
      <c r="H46" s="9"/>
      <c r="I46" s="9"/>
      <c r="J46" s="11">
        <v>14</v>
      </c>
      <c r="K46" s="11" t="str">
        <f t="shared" si="0"/>
        <v>22478 SVEUČILIŠTE U SPLITU - UMJETNIČKA AKADEMIJA</v>
      </c>
      <c r="L46" s="12">
        <v>22478</v>
      </c>
      <c r="M46" s="13" t="s">
        <v>350</v>
      </c>
      <c r="N46" s="13" t="s">
        <v>311</v>
      </c>
      <c r="O46" s="13" t="s">
        <v>351</v>
      </c>
      <c r="P46" s="13" t="s">
        <v>313</v>
      </c>
      <c r="Q46" s="14">
        <v>1321358</v>
      </c>
      <c r="R46" s="15" t="s">
        <v>352</v>
      </c>
      <c r="S46" s="15" t="s">
        <v>18</v>
      </c>
      <c r="T46" s="16" t="s">
        <v>17</v>
      </c>
      <c r="U46" s="9"/>
      <c r="V46" s="9"/>
      <c r="W46" s="9"/>
      <c r="X46" s="9"/>
      <c r="Y46" s="9"/>
      <c r="Z46" s="9"/>
      <c r="AA46" s="9"/>
    </row>
    <row r="47" spans="1:27" ht="15.75" hidden="1">
      <c r="A47" s="9"/>
      <c r="B47" s="9"/>
      <c r="C47" s="9"/>
      <c r="D47" s="9"/>
      <c r="E47" s="9"/>
      <c r="F47" s="9"/>
      <c r="G47" s="9"/>
      <c r="H47" s="9"/>
      <c r="I47" s="9"/>
      <c r="J47" s="11">
        <v>1</v>
      </c>
      <c r="K47" s="11" t="str">
        <f t="shared" si="0"/>
        <v>2436 SVEUČILIŠTE U ZAGREBU</v>
      </c>
      <c r="L47" s="12">
        <v>2436</v>
      </c>
      <c r="M47" s="13" t="s">
        <v>353</v>
      </c>
      <c r="N47" s="13" t="s">
        <v>311</v>
      </c>
      <c r="O47" s="13" t="s">
        <v>354</v>
      </c>
      <c r="P47" s="13" t="s">
        <v>355</v>
      </c>
      <c r="Q47" s="14">
        <v>3211592</v>
      </c>
      <c r="R47" s="15" t="s">
        <v>356</v>
      </c>
      <c r="S47" s="15" t="s">
        <v>18</v>
      </c>
      <c r="T47" s="16" t="s">
        <v>17</v>
      </c>
      <c r="U47" s="9"/>
      <c r="V47" s="9"/>
      <c r="W47" s="9"/>
      <c r="X47" s="9"/>
      <c r="Y47" s="9"/>
      <c r="Z47" s="9"/>
      <c r="AA47" s="9"/>
    </row>
    <row r="48" spans="1:27" ht="15.75" hidden="1">
      <c r="A48" s="9"/>
      <c r="B48" s="9"/>
      <c r="C48" s="9"/>
      <c r="D48" s="9"/>
      <c r="E48" s="9"/>
      <c r="F48" s="9"/>
      <c r="G48" s="9"/>
      <c r="H48" s="9"/>
      <c r="I48" s="9"/>
      <c r="J48" s="11">
        <v>2</v>
      </c>
      <c r="K48" s="11" t="str">
        <f t="shared" si="0"/>
        <v>1923 SVEUČILIŠTE U ZAGREBU - AGRONOMSKI FAKULTET</v>
      </c>
      <c r="L48" s="12">
        <v>1923</v>
      </c>
      <c r="M48" s="13" t="s">
        <v>357</v>
      </c>
      <c r="N48" s="13" t="s">
        <v>311</v>
      </c>
      <c r="O48" s="13" t="s">
        <v>358</v>
      </c>
      <c r="P48" s="13" t="s">
        <v>355</v>
      </c>
      <c r="Q48" s="14">
        <v>3283097</v>
      </c>
      <c r="R48" s="15" t="s">
        <v>359</v>
      </c>
      <c r="S48" s="15" t="s">
        <v>18</v>
      </c>
      <c r="T48" s="16" t="s">
        <v>17</v>
      </c>
      <c r="U48" s="9"/>
      <c r="V48" s="9"/>
      <c r="W48" s="9"/>
      <c r="X48" s="9"/>
      <c r="Y48" s="9"/>
      <c r="Z48" s="9"/>
      <c r="AA48" s="9"/>
    </row>
    <row r="49" spans="1:27" ht="15.75" hidden="1">
      <c r="A49" s="9"/>
      <c r="B49" s="9"/>
      <c r="C49" s="9"/>
      <c r="D49" s="9"/>
      <c r="E49" s="9"/>
      <c r="F49" s="9"/>
      <c r="G49" s="9"/>
      <c r="H49" s="9"/>
      <c r="I49" s="9"/>
      <c r="J49" s="11">
        <v>3</v>
      </c>
      <c r="K49" s="11" t="str">
        <f t="shared" si="0"/>
        <v>1974 SVEUČILIŠTE U ZAGREBU - AKADEMIJA DRAMSKE UMJETNOSTI</v>
      </c>
      <c r="L49" s="12">
        <v>1974</v>
      </c>
      <c r="M49" s="13" t="s">
        <v>360</v>
      </c>
      <c r="N49" s="13" t="s">
        <v>311</v>
      </c>
      <c r="O49" s="13" t="s">
        <v>361</v>
      </c>
      <c r="P49" s="13" t="s">
        <v>355</v>
      </c>
      <c r="Q49" s="14">
        <v>3205029</v>
      </c>
      <c r="R49" s="15" t="s">
        <v>362</v>
      </c>
      <c r="S49" s="15" t="s">
        <v>18</v>
      </c>
      <c r="T49" s="16" t="s">
        <v>17</v>
      </c>
      <c r="U49" s="9"/>
      <c r="V49" s="9"/>
      <c r="W49" s="9"/>
      <c r="X49" s="9"/>
      <c r="Y49" s="9"/>
      <c r="Z49" s="9"/>
      <c r="AA49" s="9"/>
    </row>
    <row r="50" spans="1:27" ht="15.75" hidden="1">
      <c r="A50" s="9"/>
      <c r="B50" s="9"/>
      <c r="C50" s="9"/>
      <c r="D50" s="9"/>
      <c r="E50" s="9"/>
      <c r="F50" s="9"/>
      <c r="G50" s="9"/>
      <c r="H50" s="9"/>
      <c r="I50" s="9"/>
      <c r="J50" s="11">
        <v>4</v>
      </c>
      <c r="K50" s="11" t="str">
        <f t="shared" si="0"/>
        <v>1982 SVEUČILIŠTE U ZAGREBU - AKADEMIJA LIKOVNIH UMJETNOSTI</v>
      </c>
      <c r="L50" s="12">
        <v>1982</v>
      </c>
      <c r="M50" s="13" t="s">
        <v>363</v>
      </c>
      <c r="N50" s="13" t="s">
        <v>311</v>
      </c>
      <c r="O50" s="13" t="s">
        <v>364</v>
      </c>
      <c r="P50" s="13" t="s">
        <v>355</v>
      </c>
      <c r="Q50" s="14">
        <v>3207919</v>
      </c>
      <c r="R50" s="15" t="s">
        <v>365</v>
      </c>
      <c r="S50" s="15" t="s">
        <v>18</v>
      </c>
      <c r="T50" s="16" t="s">
        <v>17</v>
      </c>
      <c r="U50" s="9"/>
      <c r="V50" s="9"/>
      <c r="W50" s="9"/>
      <c r="X50" s="9"/>
      <c r="Y50" s="9"/>
      <c r="Z50" s="9"/>
      <c r="AA50" s="9"/>
    </row>
    <row r="51" spans="1:27" ht="15.75" hidden="1">
      <c r="A51" s="9"/>
      <c r="B51" s="9"/>
      <c r="C51" s="9"/>
      <c r="D51" s="9"/>
      <c r="E51" s="9"/>
      <c r="F51" s="9"/>
      <c r="G51" s="9"/>
      <c r="H51" s="9"/>
      <c r="I51" s="9"/>
      <c r="J51" s="11">
        <v>5</v>
      </c>
      <c r="K51" s="11" t="str">
        <f t="shared" si="0"/>
        <v xml:space="preserve">1861 SVEUČILIŠTE U ZAGREBU - ARHITEKTONSKI FAKULTET </v>
      </c>
      <c r="L51" s="12">
        <v>1861</v>
      </c>
      <c r="M51" s="13" t="s">
        <v>366</v>
      </c>
      <c r="N51" s="13" t="s">
        <v>311</v>
      </c>
      <c r="O51" s="13" t="s">
        <v>367</v>
      </c>
      <c r="P51" s="13" t="s">
        <v>355</v>
      </c>
      <c r="Q51" s="14">
        <v>3204952</v>
      </c>
      <c r="R51" s="15" t="s">
        <v>368</v>
      </c>
      <c r="S51" s="15" t="s">
        <v>18</v>
      </c>
      <c r="T51" s="16" t="s">
        <v>17</v>
      </c>
      <c r="U51" s="9"/>
      <c r="V51" s="9"/>
      <c r="W51" s="9"/>
      <c r="X51" s="9"/>
      <c r="Y51" s="9"/>
      <c r="Z51" s="9"/>
      <c r="AA51" s="9"/>
    </row>
    <row r="52" spans="1:27" ht="15.75" hidden="1">
      <c r="A52" s="9"/>
      <c r="B52" s="9"/>
      <c r="C52" s="9"/>
      <c r="D52" s="9"/>
      <c r="E52" s="9"/>
      <c r="F52" s="9"/>
      <c r="G52" s="9"/>
      <c r="H52" s="9"/>
      <c r="I52" s="9"/>
      <c r="J52" s="11">
        <v>6</v>
      </c>
      <c r="K52" s="11" t="str">
        <f t="shared" si="0"/>
        <v xml:space="preserve">1966 SVEUČILIŠTE U ZAGREBU - EDUKACIJSKO-REHABILITACIJSKI FAKULTET </v>
      </c>
      <c r="L52" s="12">
        <v>1966</v>
      </c>
      <c r="M52" s="13" t="s">
        <v>369</v>
      </c>
      <c r="N52" s="13" t="s">
        <v>311</v>
      </c>
      <c r="O52" s="13" t="s">
        <v>370</v>
      </c>
      <c r="P52" s="13" t="s">
        <v>355</v>
      </c>
      <c r="Q52" s="14">
        <v>3219780</v>
      </c>
      <c r="R52" s="15" t="s">
        <v>371</v>
      </c>
      <c r="S52" s="15" t="s">
        <v>18</v>
      </c>
      <c r="T52" s="16" t="s">
        <v>17</v>
      </c>
      <c r="U52" s="9"/>
      <c r="V52" s="9"/>
      <c r="W52" s="9"/>
      <c r="X52" s="9"/>
      <c r="Y52" s="9"/>
      <c r="Z52" s="9"/>
      <c r="AA52" s="9"/>
    </row>
    <row r="53" spans="1:27" ht="15.75" hidden="1">
      <c r="A53" s="9"/>
      <c r="B53" s="9"/>
      <c r="C53" s="9"/>
      <c r="D53" s="9"/>
      <c r="E53" s="9"/>
      <c r="F53" s="9"/>
      <c r="G53" s="9"/>
      <c r="H53" s="9"/>
      <c r="I53" s="9"/>
      <c r="J53" s="11">
        <v>7</v>
      </c>
      <c r="K53" s="11" t="str">
        <f t="shared" si="0"/>
        <v>1931 SVEUČILIŠTE U ZAGREBU - EKONOMSKI FAKULTET</v>
      </c>
      <c r="L53" s="12">
        <v>1931</v>
      </c>
      <c r="M53" s="13" t="s">
        <v>372</v>
      </c>
      <c r="N53" s="13" t="s">
        <v>311</v>
      </c>
      <c r="O53" s="13" t="s">
        <v>373</v>
      </c>
      <c r="P53" s="13" t="s">
        <v>355</v>
      </c>
      <c r="Q53" s="14">
        <v>3272079</v>
      </c>
      <c r="R53" s="15" t="s">
        <v>374</v>
      </c>
      <c r="S53" s="15" t="s">
        <v>18</v>
      </c>
      <c r="T53" s="16" t="s">
        <v>17</v>
      </c>
      <c r="U53" s="9"/>
      <c r="V53" s="9"/>
      <c r="W53" s="9"/>
      <c r="X53" s="9"/>
      <c r="Y53" s="9"/>
      <c r="Z53" s="9"/>
      <c r="AA53" s="9"/>
    </row>
    <row r="54" spans="1:27" ht="15.75" hidden="1">
      <c r="A54" s="9"/>
      <c r="B54" s="9"/>
      <c r="C54" s="9"/>
      <c r="D54" s="9"/>
      <c r="E54" s="9"/>
      <c r="F54" s="9"/>
      <c r="G54" s="9"/>
      <c r="H54" s="9"/>
      <c r="I54" s="9"/>
      <c r="J54" s="11">
        <v>8</v>
      </c>
      <c r="K54" s="11" t="str">
        <f t="shared" si="0"/>
        <v>1757 SVEUČILIŠTE U ZAGREBU - FAKULTET ELEKTROTEHNIKE I RAČUNARSTVA</v>
      </c>
      <c r="L54" s="12">
        <v>1757</v>
      </c>
      <c r="M54" s="13" t="s">
        <v>375</v>
      </c>
      <c r="N54" s="13" t="s">
        <v>311</v>
      </c>
      <c r="O54" s="13" t="s">
        <v>376</v>
      </c>
      <c r="P54" s="13" t="s">
        <v>355</v>
      </c>
      <c r="Q54" s="14">
        <v>3276643</v>
      </c>
      <c r="R54" s="15" t="s">
        <v>377</v>
      </c>
      <c r="S54" s="15" t="s">
        <v>18</v>
      </c>
      <c r="T54" s="16" t="s">
        <v>17</v>
      </c>
      <c r="U54" s="9"/>
      <c r="V54" s="9"/>
      <c r="W54" s="9"/>
      <c r="X54" s="9"/>
      <c r="Y54" s="9"/>
      <c r="Z54" s="9"/>
      <c r="AA54" s="9"/>
    </row>
    <row r="55" spans="1:27" ht="15.75" hidden="1">
      <c r="A55" s="9"/>
      <c r="B55" s="9"/>
      <c r="C55" s="9"/>
      <c r="D55" s="9"/>
      <c r="E55" s="9"/>
      <c r="F55" s="9"/>
      <c r="G55" s="9"/>
      <c r="H55" s="9"/>
      <c r="I55" s="9"/>
      <c r="J55" s="11">
        <v>9</v>
      </c>
      <c r="K55" s="11" t="str">
        <f t="shared" si="0"/>
        <v>6154 SVEUČILIŠTA U ZAGREBU - FAKULTET FILOZOFIJE I RELIGIJSKIH ZNANOSTI</v>
      </c>
      <c r="L55" s="12">
        <v>6154</v>
      </c>
      <c r="M55" s="13" t="s">
        <v>378</v>
      </c>
      <c r="N55" s="13" t="s">
        <v>311</v>
      </c>
      <c r="O55" s="13" t="s">
        <v>379</v>
      </c>
      <c r="P55" s="13" t="s">
        <v>355</v>
      </c>
      <c r="Q55" s="14">
        <v>1235664</v>
      </c>
      <c r="R55" s="15" t="s">
        <v>380</v>
      </c>
      <c r="S55" s="15" t="s">
        <v>18</v>
      </c>
      <c r="T55" s="16" t="s">
        <v>17</v>
      </c>
      <c r="U55" s="9"/>
      <c r="V55" s="9"/>
      <c r="W55" s="9"/>
      <c r="X55" s="9"/>
      <c r="Y55" s="9"/>
      <c r="Z55" s="9"/>
      <c r="AA55" s="9"/>
    </row>
    <row r="56" spans="1:27" ht="15.75" hidden="1">
      <c r="A56" s="9"/>
      <c r="B56" s="9"/>
      <c r="C56" s="9"/>
      <c r="D56" s="9"/>
      <c r="E56" s="9"/>
      <c r="F56" s="9"/>
      <c r="G56" s="9"/>
      <c r="H56" s="9"/>
      <c r="I56" s="9"/>
      <c r="J56" s="11">
        <v>10</v>
      </c>
      <c r="K56" s="11" t="str">
        <f t="shared" si="0"/>
        <v xml:space="preserve">2135 SVEUČILIŠTE U ZAGREBU - KATOLIČKI BOGOSLOVNI FAKULTET </v>
      </c>
      <c r="L56" s="12">
        <v>2135</v>
      </c>
      <c r="M56" s="13" t="s">
        <v>381</v>
      </c>
      <c r="N56" s="13" t="s">
        <v>311</v>
      </c>
      <c r="O56" s="13" t="s">
        <v>382</v>
      </c>
      <c r="P56" s="13" t="s">
        <v>355</v>
      </c>
      <c r="Q56" s="14">
        <v>3703088</v>
      </c>
      <c r="R56" s="15">
        <v>48987767944</v>
      </c>
      <c r="S56" s="15" t="s">
        <v>18</v>
      </c>
      <c r="T56" s="16" t="s">
        <v>17</v>
      </c>
      <c r="U56" s="9"/>
      <c r="V56" s="9"/>
      <c r="W56" s="9"/>
      <c r="X56" s="9"/>
      <c r="Y56" s="9"/>
      <c r="Z56" s="9"/>
      <c r="AA56" s="9"/>
    </row>
    <row r="57" spans="1:27" ht="15.75" hidden="1">
      <c r="A57" s="9"/>
      <c r="B57" s="9"/>
      <c r="C57" s="9"/>
      <c r="D57" s="9"/>
      <c r="E57" s="9"/>
      <c r="F57" s="9"/>
      <c r="G57" s="9"/>
      <c r="H57" s="9"/>
      <c r="I57" s="9"/>
      <c r="J57" s="11">
        <v>11</v>
      </c>
      <c r="K57" s="11" t="str">
        <f t="shared" si="0"/>
        <v>1790 SVEUČILIŠTE U ZAGREBU - FAKULTET KEMIJSKOG INŽENJERSTVA I TEHNOLOGIJE</v>
      </c>
      <c r="L57" s="12">
        <v>1790</v>
      </c>
      <c r="M57" s="13" t="s">
        <v>383</v>
      </c>
      <c r="N57" s="13" t="s">
        <v>311</v>
      </c>
      <c r="O57" s="13" t="s">
        <v>384</v>
      </c>
      <c r="P57" s="13" t="s">
        <v>355</v>
      </c>
      <c r="Q57" s="14">
        <v>3250270</v>
      </c>
      <c r="R57" s="15" t="s">
        <v>385</v>
      </c>
      <c r="S57" s="15" t="s">
        <v>18</v>
      </c>
      <c r="T57" s="16" t="s">
        <v>17</v>
      </c>
      <c r="U57" s="9"/>
      <c r="V57" s="9"/>
      <c r="W57" s="9"/>
      <c r="X57" s="9"/>
      <c r="Y57" s="9"/>
      <c r="Z57" s="9"/>
      <c r="AA57" s="9"/>
    </row>
    <row r="58" spans="1:27" ht="15.75" hidden="1">
      <c r="A58" s="9"/>
      <c r="B58" s="9"/>
      <c r="C58" s="9"/>
      <c r="D58" s="9"/>
      <c r="E58" s="9"/>
      <c r="F58" s="9"/>
      <c r="G58" s="9"/>
      <c r="H58" s="9"/>
      <c r="I58" s="9"/>
      <c r="J58" s="11">
        <v>12</v>
      </c>
      <c r="K58" s="11" t="str">
        <f t="shared" si="0"/>
        <v>1907 SVEUČILIŠTE U ZAGREBU - FAKULTET POLITIČKIH ZNANOSTI</v>
      </c>
      <c r="L58" s="12">
        <v>1907</v>
      </c>
      <c r="M58" s="13" t="s">
        <v>386</v>
      </c>
      <c r="N58" s="13" t="s">
        <v>311</v>
      </c>
      <c r="O58" s="13" t="s">
        <v>387</v>
      </c>
      <c r="P58" s="13" t="s">
        <v>355</v>
      </c>
      <c r="Q58" s="14">
        <v>3270262</v>
      </c>
      <c r="R58" s="15" t="s">
        <v>388</v>
      </c>
      <c r="S58" s="15" t="s">
        <v>18</v>
      </c>
      <c r="T58" s="16" t="s">
        <v>17</v>
      </c>
      <c r="U58" s="9"/>
      <c r="V58" s="9"/>
      <c r="W58" s="9"/>
      <c r="X58" s="9"/>
      <c r="Y58" s="9"/>
      <c r="Z58" s="9"/>
      <c r="AA58" s="9"/>
    </row>
    <row r="59" spans="1:27" ht="15.75" hidden="1">
      <c r="A59" s="9"/>
      <c r="B59" s="9"/>
      <c r="C59" s="9"/>
      <c r="D59" s="9"/>
      <c r="E59" s="9"/>
      <c r="F59" s="9"/>
      <c r="G59" s="9"/>
      <c r="H59" s="9"/>
      <c r="I59" s="9"/>
      <c r="J59" s="11">
        <v>13</v>
      </c>
      <c r="K59" s="11" t="str">
        <f t="shared" si="0"/>
        <v>1812 SVEUČILIŠTE U ZAGREBU - FAKULTET PROMETNIH ZNANOSTI</v>
      </c>
      <c r="L59" s="12">
        <v>1812</v>
      </c>
      <c r="M59" s="13" t="s">
        <v>389</v>
      </c>
      <c r="N59" s="13" t="s">
        <v>311</v>
      </c>
      <c r="O59" s="13" t="s">
        <v>390</v>
      </c>
      <c r="P59" s="13" t="s">
        <v>355</v>
      </c>
      <c r="Q59" s="14">
        <v>3260771</v>
      </c>
      <c r="R59" s="15" t="s">
        <v>391</v>
      </c>
      <c r="S59" s="15" t="s">
        <v>18</v>
      </c>
      <c r="T59" s="16" t="s">
        <v>17</v>
      </c>
      <c r="U59" s="9"/>
      <c r="V59" s="9"/>
      <c r="W59" s="9"/>
      <c r="X59" s="9"/>
      <c r="Y59" s="9"/>
      <c r="Z59" s="9"/>
      <c r="AA59" s="9"/>
    </row>
    <row r="60" spans="1:27" ht="15.75" hidden="1">
      <c r="A60" s="9"/>
      <c r="B60" s="9"/>
      <c r="C60" s="9"/>
      <c r="D60" s="9"/>
      <c r="E60" s="9"/>
      <c r="F60" s="9"/>
      <c r="G60" s="9"/>
      <c r="H60" s="9"/>
      <c r="I60" s="9"/>
      <c r="J60" s="11">
        <v>14</v>
      </c>
      <c r="K60" s="11" t="str">
        <f t="shared" si="0"/>
        <v>1829 SVEUČILIŠTE U ZAGREBU - FAKULTET STROJARSTVA I BRODOGRADNJE</v>
      </c>
      <c r="L60" s="12">
        <v>1829</v>
      </c>
      <c r="M60" s="13" t="s">
        <v>392</v>
      </c>
      <c r="N60" s="13" t="s">
        <v>311</v>
      </c>
      <c r="O60" s="13" t="s">
        <v>393</v>
      </c>
      <c r="P60" s="13" t="s">
        <v>355</v>
      </c>
      <c r="Q60" s="14">
        <v>3276546</v>
      </c>
      <c r="R60" s="15" t="s">
        <v>394</v>
      </c>
      <c r="S60" s="15" t="s">
        <v>18</v>
      </c>
      <c r="T60" s="16" t="s">
        <v>17</v>
      </c>
      <c r="U60" s="9"/>
      <c r="V60" s="9"/>
      <c r="W60" s="9"/>
      <c r="X60" s="9"/>
      <c r="Y60" s="9"/>
      <c r="Z60" s="9"/>
      <c r="AA60" s="9"/>
    </row>
    <row r="61" spans="1:27" ht="15.75" hidden="1">
      <c r="A61" s="9"/>
      <c r="B61" s="9"/>
      <c r="C61" s="9"/>
      <c r="D61" s="9"/>
      <c r="E61" s="9"/>
      <c r="F61" s="9"/>
      <c r="G61" s="9"/>
      <c r="H61" s="9"/>
      <c r="I61" s="9"/>
      <c r="J61" s="11">
        <v>15</v>
      </c>
      <c r="K61" s="11" t="str">
        <f t="shared" si="0"/>
        <v xml:space="preserve">2014 SVEUČILIŠTE U ZAGREBU - FARMACEUTSKO-BIOKEMIJSKI FAKULTET </v>
      </c>
      <c r="L61" s="12">
        <v>2014</v>
      </c>
      <c r="M61" s="13" t="s">
        <v>395</v>
      </c>
      <c r="N61" s="13" t="s">
        <v>311</v>
      </c>
      <c r="O61" s="13" t="s">
        <v>396</v>
      </c>
      <c r="P61" s="13" t="s">
        <v>355</v>
      </c>
      <c r="Q61" s="14">
        <v>3205037</v>
      </c>
      <c r="R61" s="15" t="s">
        <v>397</v>
      </c>
      <c r="S61" s="15" t="s">
        <v>18</v>
      </c>
      <c r="T61" s="16" t="s">
        <v>17</v>
      </c>
      <c r="U61" s="9"/>
      <c r="V61" s="9"/>
      <c r="W61" s="9"/>
      <c r="X61" s="9"/>
      <c r="Y61" s="9"/>
      <c r="Z61" s="9"/>
      <c r="AA61" s="9"/>
    </row>
    <row r="62" spans="1:27" ht="15.75" hidden="1">
      <c r="A62" s="9"/>
      <c r="B62" s="9"/>
      <c r="C62" s="9"/>
      <c r="D62" s="9"/>
      <c r="E62" s="9"/>
      <c r="F62" s="9"/>
      <c r="G62" s="9"/>
      <c r="H62" s="9"/>
      <c r="I62" s="9"/>
      <c r="J62" s="11">
        <v>16</v>
      </c>
      <c r="K62" s="11" t="str">
        <f t="shared" si="0"/>
        <v>1958 SVEUČILIŠTE U ZAGREBU - FILOZOFSKI FAKULTET</v>
      </c>
      <c r="L62" s="12">
        <v>1958</v>
      </c>
      <c r="M62" s="13" t="s">
        <v>398</v>
      </c>
      <c r="N62" s="13" t="s">
        <v>311</v>
      </c>
      <c r="O62" s="13" t="s">
        <v>399</v>
      </c>
      <c r="P62" s="13" t="s">
        <v>355</v>
      </c>
      <c r="Q62" s="14">
        <v>3254852</v>
      </c>
      <c r="R62" s="15" t="s">
        <v>400</v>
      </c>
      <c r="S62" s="15" t="s">
        <v>18</v>
      </c>
      <c r="T62" s="16" t="s">
        <v>17</v>
      </c>
      <c r="U62" s="9"/>
      <c r="V62" s="9"/>
      <c r="W62" s="9"/>
      <c r="X62" s="9"/>
      <c r="Y62" s="9"/>
      <c r="Z62" s="9"/>
      <c r="AA62" s="9"/>
    </row>
    <row r="63" spans="1:27" ht="15.75" hidden="1">
      <c r="A63" s="9"/>
      <c r="B63" s="9"/>
      <c r="C63" s="9"/>
      <c r="D63" s="9"/>
      <c r="E63" s="9"/>
      <c r="F63" s="9"/>
      <c r="G63" s="9"/>
      <c r="H63" s="9"/>
      <c r="I63" s="9"/>
      <c r="J63" s="11">
        <v>17</v>
      </c>
      <c r="K63" s="11" t="str">
        <f t="shared" si="0"/>
        <v>1853 SVEUČILIŠTE U ZAGREBU - GEODETSKI FAKULTET</v>
      </c>
      <c r="L63" s="12">
        <v>1853</v>
      </c>
      <c r="M63" s="13" t="s">
        <v>401</v>
      </c>
      <c r="N63" s="13" t="s">
        <v>311</v>
      </c>
      <c r="O63" s="13" t="s">
        <v>402</v>
      </c>
      <c r="P63" s="13" t="s">
        <v>355</v>
      </c>
      <c r="Q63" s="14">
        <v>3204987</v>
      </c>
      <c r="R63" s="15" t="s">
        <v>403</v>
      </c>
      <c r="S63" s="15" t="s">
        <v>18</v>
      </c>
      <c r="T63" s="16" t="s">
        <v>17</v>
      </c>
      <c r="U63" s="9"/>
      <c r="V63" s="9"/>
      <c r="W63" s="9"/>
      <c r="X63" s="9"/>
      <c r="Y63" s="9"/>
      <c r="Z63" s="9"/>
      <c r="AA63" s="9"/>
    </row>
    <row r="64" spans="1:27" ht="15.75" hidden="1">
      <c r="A64" s="9"/>
      <c r="B64" s="9"/>
      <c r="C64" s="9"/>
      <c r="D64" s="9"/>
      <c r="E64" s="9"/>
      <c r="F64" s="9"/>
      <c r="G64" s="9"/>
      <c r="H64" s="9"/>
      <c r="I64" s="9"/>
      <c r="J64" s="11">
        <v>18</v>
      </c>
      <c r="K64" s="11" t="str">
        <f t="shared" si="0"/>
        <v>2102 SVEUČILIŠTE U ZAGREBU - GEOTEHNIČKI FAKULTET</v>
      </c>
      <c r="L64" s="12">
        <v>2102</v>
      </c>
      <c r="M64" s="13" t="s">
        <v>404</v>
      </c>
      <c r="N64" s="13" t="s">
        <v>311</v>
      </c>
      <c r="O64" s="13" t="s">
        <v>405</v>
      </c>
      <c r="P64" s="13" t="s">
        <v>406</v>
      </c>
      <c r="Q64" s="14">
        <v>3042316</v>
      </c>
      <c r="R64" s="15" t="s">
        <v>407</v>
      </c>
      <c r="S64" s="15" t="s">
        <v>18</v>
      </c>
      <c r="T64" s="16" t="s">
        <v>17</v>
      </c>
      <c r="U64" s="9"/>
      <c r="V64" s="9"/>
      <c r="W64" s="9"/>
      <c r="X64" s="9"/>
      <c r="Y64" s="9"/>
      <c r="Z64" s="9"/>
      <c r="AA64" s="9"/>
    </row>
    <row r="65" spans="1:27" ht="15.75" hidden="1">
      <c r="A65" s="9"/>
      <c r="B65" s="9"/>
      <c r="C65" s="9"/>
      <c r="D65" s="9"/>
      <c r="E65" s="9"/>
      <c r="F65" s="9"/>
      <c r="G65" s="9"/>
      <c r="H65" s="9"/>
      <c r="I65" s="9"/>
      <c r="J65" s="11">
        <v>19</v>
      </c>
      <c r="K65" s="11" t="str">
        <f t="shared" si="0"/>
        <v>1837 SVEUČILIŠTE U ZAGREBU - GRAĐEVINSKI FAKULTET</v>
      </c>
      <c r="L65" s="12">
        <v>1837</v>
      </c>
      <c r="M65" s="13" t="s">
        <v>408</v>
      </c>
      <c r="N65" s="13" t="s">
        <v>311</v>
      </c>
      <c r="O65" s="13" t="s">
        <v>409</v>
      </c>
      <c r="P65" s="13" t="s">
        <v>355</v>
      </c>
      <c r="Q65" s="14">
        <v>3227120</v>
      </c>
      <c r="R65" s="15" t="s">
        <v>410</v>
      </c>
      <c r="S65" s="15" t="s">
        <v>18</v>
      </c>
      <c r="T65" s="16" t="s">
        <v>17</v>
      </c>
      <c r="U65" s="9"/>
      <c r="V65" s="9"/>
      <c r="W65" s="9"/>
      <c r="X65" s="9"/>
      <c r="Y65" s="9"/>
      <c r="Z65" s="9"/>
      <c r="AA65" s="9"/>
    </row>
    <row r="66" spans="1:27" ht="15.75" hidden="1">
      <c r="A66" s="9"/>
      <c r="B66" s="9"/>
      <c r="C66" s="9"/>
      <c r="D66" s="9"/>
      <c r="E66" s="9"/>
      <c r="F66" s="9"/>
      <c r="G66" s="9"/>
      <c r="H66" s="9"/>
      <c r="I66" s="9"/>
      <c r="J66" s="11">
        <v>20</v>
      </c>
      <c r="K66" s="11" t="str">
        <f t="shared" ref="K66:K89" si="1">L66&amp;" "&amp;M66</f>
        <v>2080 SVEUČILIŠTE U ZAGREBU - GRAFIČKI FAKULTET</v>
      </c>
      <c r="L66" s="12">
        <v>2080</v>
      </c>
      <c r="M66" s="13" t="s">
        <v>411</v>
      </c>
      <c r="N66" s="13" t="s">
        <v>311</v>
      </c>
      <c r="O66" s="13" t="s">
        <v>412</v>
      </c>
      <c r="P66" s="13" t="s">
        <v>355</v>
      </c>
      <c r="Q66" s="14">
        <v>3219763</v>
      </c>
      <c r="R66" s="15" t="s">
        <v>413</v>
      </c>
      <c r="S66" s="15" t="s">
        <v>18</v>
      </c>
      <c r="T66" s="16" t="s">
        <v>17</v>
      </c>
      <c r="U66" s="9"/>
      <c r="V66" s="9"/>
      <c r="W66" s="9"/>
      <c r="X66" s="9"/>
      <c r="Y66" s="9"/>
      <c r="Z66" s="9"/>
      <c r="AA66" s="9"/>
    </row>
    <row r="67" spans="1:27" ht="15.75" hidden="1">
      <c r="A67" s="9"/>
      <c r="B67" s="9"/>
      <c r="C67" s="9"/>
      <c r="D67" s="9"/>
      <c r="E67" s="9"/>
      <c r="F67" s="9"/>
      <c r="G67" s="9"/>
      <c r="H67" s="9"/>
      <c r="I67" s="9"/>
      <c r="J67" s="11">
        <v>21</v>
      </c>
      <c r="K67" s="11" t="str">
        <f t="shared" si="1"/>
        <v>2006 SVEUČILIŠTE U ZAGREBU - KINEZIOLOŠKI FAKULTET</v>
      </c>
      <c r="L67" s="12">
        <v>2006</v>
      </c>
      <c r="M67" s="13" t="s">
        <v>414</v>
      </c>
      <c r="N67" s="13" t="s">
        <v>311</v>
      </c>
      <c r="O67" s="13" t="s">
        <v>415</v>
      </c>
      <c r="P67" s="13" t="s">
        <v>355</v>
      </c>
      <c r="Q67" s="14">
        <v>3274080</v>
      </c>
      <c r="R67" s="15" t="s">
        <v>416</v>
      </c>
      <c r="S67" s="15" t="s">
        <v>18</v>
      </c>
      <c r="T67" s="16" t="s">
        <v>17</v>
      </c>
      <c r="U67" s="9"/>
      <c r="V67" s="9"/>
      <c r="W67" s="9"/>
      <c r="X67" s="9"/>
      <c r="Y67" s="9"/>
      <c r="Z67" s="9"/>
      <c r="AA67" s="9"/>
    </row>
    <row r="68" spans="1:27" ht="15.75" hidden="1">
      <c r="A68" s="9"/>
      <c r="B68" s="9"/>
      <c r="C68" s="9"/>
      <c r="D68" s="9"/>
      <c r="E68" s="9"/>
      <c r="F68" s="9"/>
      <c r="G68" s="9"/>
      <c r="H68" s="9"/>
      <c r="I68" s="9"/>
      <c r="J68" s="11">
        <v>22</v>
      </c>
      <c r="K68" s="11" t="str">
        <f t="shared" si="1"/>
        <v>1888 SVEUČILIŠTE U ZAGREBU - MEDICINSKI FAKULTET</v>
      </c>
      <c r="L68" s="12">
        <v>1888</v>
      </c>
      <c r="M68" s="13" t="s">
        <v>417</v>
      </c>
      <c r="N68" s="13" t="s">
        <v>311</v>
      </c>
      <c r="O68" s="13" t="s">
        <v>418</v>
      </c>
      <c r="P68" s="13" t="s">
        <v>355</v>
      </c>
      <c r="Q68" s="14">
        <v>3270211</v>
      </c>
      <c r="R68" s="15" t="s">
        <v>419</v>
      </c>
      <c r="S68" s="15" t="s">
        <v>18</v>
      </c>
      <c r="T68" s="16" t="s">
        <v>17</v>
      </c>
      <c r="U68" s="9"/>
      <c r="V68" s="9"/>
      <c r="W68" s="9"/>
      <c r="X68" s="9"/>
      <c r="Y68" s="9"/>
      <c r="Z68" s="9"/>
      <c r="AA68" s="9"/>
    </row>
    <row r="69" spans="1:27" ht="15.75" hidden="1">
      <c r="A69" s="9"/>
      <c r="B69" s="9"/>
      <c r="C69" s="9"/>
      <c r="D69" s="9"/>
      <c r="E69" s="9"/>
      <c r="F69" s="9"/>
      <c r="G69" s="9"/>
      <c r="H69" s="9"/>
      <c r="I69" s="9"/>
      <c r="J69" s="11">
        <v>23</v>
      </c>
      <c r="K69" s="11" t="str">
        <f t="shared" si="1"/>
        <v>2071 SVEUČILIŠTE U ZAGREBU - METALURŠKI FAKULTET SISAK</v>
      </c>
      <c r="L69" s="12">
        <v>2071</v>
      </c>
      <c r="M69" s="13" t="s">
        <v>420</v>
      </c>
      <c r="N69" s="13" t="s">
        <v>311</v>
      </c>
      <c r="O69" s="13" t="s">
        <v>421</v>
      </c>
      <c r="P69" s="13" t="s">
        <v>422</v>
      </c>
      <c r="Q69" s="14">
        <v>3313786</v>
      </c>
      <c r="R69" s="15" t="s">
        <v>423</v>
      </c>
      <c r="S69" s="15" t="s">
        <v>18</v>
      </c>
      <c r="T69" s="16" t="s">
        <v>17</v>
      </c>
      <c r="U69" s="9"/>
      <c r="V69" s="9"/>
      <c r="W69" s="9"/>
      <c r="X69" s="9"/>
      <c r="Y69" s="9"/>
      <c r="Z69" s="9"/>
      <c r="AA69" s="9"/>
    </row>
    <row r="70" spans="1:27" ht="15.75" hidden="1">
      <c r="A70" s="9"/>
      <c r="B70" s="9"/>
      <c r="C70" s="9"/>
      <c r="D70" s="9"/>
      <c r="E70" s="9"/>
      <c r="F70" s="9"/>
      <c r="G70" s="9"/>
      <c r="H70" s="9"/>
      <c r="I70" s="9"/>
      <c r="J70" s="11">
        <v>24</v>
      </c>
      <c r="K70" s="11" t="str">
        <f t="shared" si="1"/>
        <v>1999 SVEUČILIŠTE U ZAGREBU - MUZIČKA AKADEMIJA</v>
      </c>
      <c r="L70" s="12">
        <v>1999</v>
      </c>
      <c r="M70" s="13" t="s">
        <v>424</v>
      </c>
      <c r="N70" s="13" t="s">
        <v>311</v>
      </c>
      <c r="O70" s="13" t="s">
        <v>425</v>
      </c>
      <c r="P70" s="13" t="s">
        <v>355</v>
      </c>
      <c r="Q70" s="14">
        <v>3205002</v>
      </c>
      <c r="R70" s="15" t="s">
        <v>426</v>
      </c>
      <c r="S70" s="15" t="s">
        <v>18</v>
      </c>
      <c r="T70" s="16" t="s">
        <v>17</v>
      </c>
      <c r="U70" s="9"/>
      <c r="V70" s="9"/>
      <c r="W70" s="9"/>
      <c r="X70" s="9"/>
      <c r="Y70" s="9"/>
      <c r="Z70" s="9"/>
      <c r="AA70" s="9"/>
    </row>
    <row r="71" spans="1:27" ht="15.75" hidden="1">
      <c r="A71" s="9"/>
      <c r="B71" s="9"/>
      <c r="C71" s="9"/>
      <c r="D71" s="9"/>
      <c r="E71" s="9"/>
      <c r="F71" s="9"/>
      <c r="G71" s="9"/>
      <c r="H71" s="9"/>
      <c r="I71" s="9"/>
      <c r="J71" s="11">
        <v>25</v>
      </c>
      <c r="K71" s="11" t="str">
        <f t="shared" si="1"/>
        <v>1915 SVEUČILIŠTE U ZAGREBU - PRAVNI FAKULTET</v>
      </c>
      <c r="L71" s="12">
        <v>1915</v>
      </c>
      <c r="M71" s="13" t="s">
        <v>427</v>
      </c>
      <c r="N71" s="13" t="s">
        <v>311</v>
      </c>
      <c r="O71" s="13" t="s">
        <v>428</v>
      </c>
      <c r="P71" s="13" t="s">
        <v>355</v>
      </c>
      <c r="Q71" s="14">
        <v>3225909</v>
      </c>
      <c r="R71" s="15" t="s">
        <v>429</v>
      </c>
      <c r="S71" s="15" t="s">
        <v>18</v>
      </c>
      <c r="T71" s="16" t="s">
        <v>17</v>
      </c>
      <c r="U71" s="9"/>
      <c r="V71" s="9"/>
      <c r="W71" s="9"/>
      <c r="X71" s="9"/>
      <c r="Y71" s="9"/>
      <c r="Z71" s="9"/>
      <c r="AA71" s="9"/>
    </row>
    <row r="72" spans="1:27" ht="15.75" hidden="1">
      <c r="A72" s="9"/>
      <c r="B72" s="9"/>
      <c r="C72" s="9"/>
      <c r="D72" s="9"/>
      <c r="E72" s="9"/>
      <c r="F72" s="9"/>
      <c r="G72" s="9"/>
      <c r="H72" s="9"/>
      <c r="I72" s="9"/>
      <c r="J72" s="11">
        <v>26</v>
      </c>
      <c r="K72" s="11" t="str">
        <f t="shared" si="1"/>
        <v>1845 SVEUČILIŠTE U ZAGREBU - PREHRAMBENO BIOTEHNOLOŠKI FAKULTET</v>
      </c>
      <c r="L72" s="12">
        <v>1845</v>
      </c>
      <c r="M72" s="13" t="s">
        <v>430</v>
      </c>
      <c r="N72" s="13" t="s">
        <v>311</v>
      </c>
      <c r="O72" s="13" t="s">
        <v>431</v>
      </c>
      <c r="P72" s="13" t="s">
        <v>355</v>
      </c>
      <c r="Q72" s="14">
        <v>3207102</v>
      </c>
      <c r="R72" s="15" t="s">
        <v>432</v>
      </c>
      <c r="S72" s="15" t="s">
        <v>18</v>
      </c>
      <c r="T72" s="16" t="s">
        <v>17</v>
      </c>
      <c r="U72" s="9"/>
      <c r="V72" s="9"/>
      <c r="W72" s="9"/>
      <c r="X72" s="9"/>
      <c r="Y72" s="9"/>
      <c r="Z72" s="9"/>
      <c r="AA72" s="9"/>
    </row>
    <row r="73" spans="1:27" ht="15.75" hidden="1">
      <c r="A73" s="9"/>
      <c r="B73" s="9"/>
      <c r="C73" s="9"/>
      <c r="D73" s="9"/>
      <c r="E73" s="9"/>
      <c r="F73" s="9"/>
      <c r="G73" s="9"/>
      <c r="H73" s="9"/>
      <c r="I73" s="9"/>
      <c r="J73" s="11">
        <v>27</v>
      </c>
      <c r="K73" s="11" t="str">
        <f t="shared" si="1"/>
        <v>1781 SVEUČILIŠTE U ZAGREBU - PRIRODOSLOVNO-MATEMATIČKI FAKULTET</v>
      </c>
      <c r="L73" s="12">
        <v>1781</v>
      </c>
      <c r="M73" s="13" t="s">
        <v>433</v>
      </c>
      <c r="N73" s="13" t="s">
        <v>311</v>
      </c>
      <c r="O73" s="13" t="s">
        <v>434</v>
      </c>
      <c r="P73" s="13" t="s">
        <v>355</v>
      </c>
      <c r="Q73" s="14">
        <v>3270149</v>
      </c>
      <c r="R73" s="15" t="s">
        <v>435</v>
      </c>
      <c r="S73" s="15" t="s">
        <v>18</v>
      </c>
      <c r="T73" s="16" t="s">
        <v>17</v>
      </c>
      <c r="U73" s="9"/>
      <c r="V73" s="9"/>
      <c r="W73" s="9"/>
      <c r="X73" s="9"/>
      <c r="Y73" s="9"/>
      <c r="Z73" s="9"/>
      <c r="AA73" s="9"/>
    </row>
    <row r="74" spans="1:27" ht="15.75" hidden="1">
      <c r="A74" s="9"/>
      <c r="B74" s="9"/>
      <c r="C74" s="9"/>
      <c r="D74" s="9"/>
      <c r="E74" s="9"/>
      <c r="F74" s="9"/>
      <c r="G74" s="9"/>
      <c r="H74" s="9"/>
      <c r="I74" s="9"/>
      <c r="J74" s="11">
        <v>28</v>
      </c>
      <c r="K74" s="11" t="str">
        <f t="shared" si="1"/>
        <v>2047 SVEUČILIŠTE U ZAGREBU - RUDARSKO-GEOLOŠKO-NAFTNI FAKULTET</v>
      </c>
      <c r="L74" s="12">
        <v>2047</v>
      </c>
      <c r="M74" s="13" t="s">
        <v>436</v>
      </c>
      <c r="N74" s="13" t="s">
        <v>311</v>
      </c>
      <c r="O74" s="13" t="s">
        <v>437</v>
      </c>
      <c r="P74" s="13" t="s">
        <v>355</v>
      </c>
      <c r="Q74" s="14">
        <v>3207005</v>
      </c>
      <c r="R74" s="15" t="s">
        <v>438</v>
      </c>
      <c r="S74" s="15" t="s">
        <v>18</v>
      </c>
      <c r="T74" s="16" t="s">
        <v>17</v>
      </c>
      <c r="U74" s="9"/>
      <c r="V74" s="9"/>
      <c r="W74" s="9"/>
      <c r="X74" s="9"/>
      <c r="Y74" s="9"/>
      <c r="Z74" s="9"/>
      <c r="AA74" s="9"/>
    </row>
    <row r="75" spans="1:27" ht="15.75" hidden="1">
      <c r="A75" s="9"/>
      <c r="B75" s="9"/>
      <c r="C75" s="9"/>
      <c r="D75" s="9"/>
      <c r="E75" s="9"/>
      <c r="F75" s="9"/>
      <c r="G75" s="9"/>
      <c r="H75" s="9"/>
      <c r="I75" s="9"/>
      <c r="J75" s="11">
        <v>29</v>
      </c>
      <c r="K75" s="11" t="str">
        <f t="shared" si="1"/>
        <v>1870 SVEUČILIŠTE U ZAGREBU - STOMATOLOŠKI FAKULTET</v>
      </c>
      <c r="L75" s="12">
        <v>1870</v>
      </c>
      <c r="M75" s="13" t="s">
        <v>439</v>
      </c>
      <c r="N75" s="13" t="s">
        <v>311</v>
      </c>
      <c r="O75" s="13" t="s">
        <v>440</v>
      </c>
      <c r="P75" s="13" t="s">
        <v>355</v>
      </c>
      <c r="Q75" s="14">
        <v>3204995</v>
      </c>
      <c r="R75" s="15" t="s">
        <v>441</v>
      </c>
      <c r="S75" s="15" t="s">
        <v>18</v>
      </c>
      <c r="T75" s="16" t="s">
        <v>17</v>
      </c>
      <c r="U75" s="9"/>
      <c r="V75" s="9"/>
      <c r="W75" s="9"/>
      <c r="X75" s="9"/>
      <c r="Y75" s="9"/>
      <c r="Z75" s="9"/>
      <c r="AA75" s="9"/>
    </row>
    <row r="76" spans="1:27" ht="15.75" hidden="1">
      <c r="A76" s="9"/>
      <c r="B76" s="9"/>
      <c r="C76" s="9"/>
      <c r="D76" s="9"/>
      <c r="E76" s="9"/>
      <c r="F76" s="9"/>
      <c r="G76" s="9"/>
      <c r="H76" s="9"/>
      <c r="I76" s="9"/>
      <c r="J76" s="11">
        <v>30</v>
      </c>
      <c r="K76" s="11" t="str">
        <f t="shared" si="1"/>
        <v>1896 SVEUČILIŠTE U ZAGREBU - ŠUMARSKI FAKULTET</v>
      </c>
      <c r="L76" s="12">
        <v>1896</v>
      </c>
      <c r="M76" s="13" t="s">
        <v>442</v>
      </c>
      <c r="N76" s="13" t="s">
        <v>311</v>
      </c>
      <c r="O76" s="13" t="s">
        <v>443</v>
      </c>
      <c r="P76" s="13" t="s">
        <v>355</v>
      </c>
      <c r="Q76" s="14">
        <v>3281485</v>
      </c>
      <c r="R76" s="15" t="s">
        <v>444</v>
      </c>
      <c r="S76" s="15" t="s">
        <v>18</v>
      </c>
      <c r="T76" s="16" t="s">
        <v>17</v>
      </c>
      <c r="U76" s="9"/>
      <c r="V76" s="9"/>
      <c r="W76" s="9"/>
      <c r="X76" s="9"/>
      <c r="Y76" s="9"/>
      <c r="Z76" s="9"/>
      <c r="AA76" s="9"/>
    </row>
    <row r="77" spans="1:27" ht="15.75" hidden="1">
      <c r="A77" s="9"/>
      <c r="B77" s="9"/>
      <c r="C77" s="9"/>
      <c r="D77" s="9"/>
      <c r="E77" s="9"/>
      <c r="F77" s="9"/>
      <c r="G77" s="9"/>
      <c r="H77" s="9"/>
      <c r="I77" s="9"/>
      <c r="J77" s="11">
        <v>31</v>
      </c>
      <c r="K77" s="11" t="str">
        <f t="shared" si="1"/>
        <v>1804 SVEUČILIŠTE U ZAGREBU - TEKSTILNO TEHNOLOŠKI FAKULTET</v>
      </c>
      <c r="L77" s="12">
        <v>1804</v>
      </c>
      <c r="M77" s="13" t="s">
        <v>445</v>
      </c>
      <c r="N77" s="13" t="s">
        <v>311</v>
      </c>
      <c r="O77" s="13" t="s">
        <v>446</v>
      </c>
      <c r="P77" s="13" t="s">
        <v>355</v>
      </c>
      <c r="Q77" s="14">
        <v>3207064</v>
      </c>
      <c r="R77" s="15" t="s">
        <v>447</v>
      </c>
      <c r="S77" s="15" t="s">
        <v>18</v>
      </c>
      <c r="T77" s="16" t="s">
        <v>17</v>
      </c>
      <c r="U77" s="9"/>
      <c r="V77" s="9"/>
      <c r="W77" s="9"/>
      <c r="X77" s="9"/>
      <c r="Y77" s="9"/>
      <c r="Z77" s="9"/>
      <c r="AA77" s="9"/>
    </row>
    <row r="78" spans="1:27" ht="15.75" hidden="1">
      <c r="A78" s="9"/>
      <c r="B78" s="9"/>
      <c r="C78" s="9"/>
      <c r="D78" s="9"/>
      <c r="E78" s="9"/>
      <c r="F78" s="9"/>
      <c r="G78" s="9"/>
      <c r="H78" s="9"/>
      <c r="I78" s="9"/>
      <c r="J78" s="11">
        <v>32</v>
      </c>
      <c r="K78" s="11" t="str">
        <f t="shared" si="1"/>
        <v>1940 SVEUČILIŠTE U ZAGREBU - UČITELJSKI FAKULTET</v>
      </c>
      <c r="L78" s="12">
        <v>1940</v>
      </c>
      <c r="M78" s="13" t="s">
        <v>448</v>
      </c>
      <c r="N78" s="13" t="s">
        <v>311</v>
      </c>
      <c r="O78" s="13" t="s">
        <v>449</v>
      </c>
      <c r="P78" s="13" t="s">
        <v>355</v>
      </c>
      <c r="Q78" s="14">
        <v>1422545</v>
      </c>
      <c r="R78" s="15" t="s">
        <v>450</v>
      </c>
      <c r="S78" s="15" t="s">
        <v>18</v>
      </c>
      <c r="T78" s="16" t="s">
        <v>17</v>
      </c>
      <c r="U78" s="9"/>
      <c r="V78" s="9"/>
      <c r="W78" s="9"/>
      <c r="X78" s="9"/>
      <c r="Y78" s="9"/>
      <c r="Z78" s="9"/>
      <c r="AA78" s="9"/>
    </row>
    <row r="79" spans="1:27" ht="15.75" hidden="1">
      <c r="A79" s="9"/>
      <c r="B79" s="9"/>
      <c r="C79" s="9"/>
      <c r="D79" s="9"/>
      <c r="E79" s="9"/>
      <c r="F79" s="9"/>
      <c r="G79" s="9"/>
      <c r="H79" s="9"/>
      <c r="I79" s="9"/>
      <c r="J79" s="11">
        <v>33</v>
      </c>
      <c r="K79" s="11" t="str">
        <f t="shared" si="1"/>
        <v>2022 SVEUČILIŠTE U ZAGREBU - VETERINARSKI FAKULTET</v>
      </c>
      <c r="L79" s="12">
        <v>2022</v>
      </c>
      <c r="M79" s="13" t="s">
        <v>451</v>
      </c>
      <c r="N79" s="13" t="s">
        <v>311</v>
      </c>
      <c r="O79" s="13" t="s">
        <v>452</v>
      </c>
      <c r="P79" s="13" t="s">
        <v>355</v>
      </c>
      <c r="Q79" s="14">
        <v>3225755</v>
      </c>
      <c r="R79" s="15" t="s">
        <v>453</v>
      </c>
      <c r="S79" s="15" t="s">
        <v>18</v>
      </c>
      <c r="T79" s="16" t="s">
        <v>17</v>
      </c>
      <c r="U79" s="9"/>
      <c r="V79" s="9"/>
      <c r="W79" s="9"/>
      <c r="X79" s="9"/>
      <c r="Y79" s="9"/>
      <c r="Z79" s="9"/>
      <c r="AA79" s="9"/>
    </row>
    <row r="80" spans="1:27" ht="15.75" hidden="1">
      <c r="A80" s="9"/>
      <c r="B80" s="9"/>
      <c r="C80" s="9"/>
      <c r="D80" s="9"/>
      <c r="E80" s="9"/>
      <c r="F80" s="9"/>
      <c r="G80" s="9"/>
      <c r="H80" s="9"/>
      <c r="I80" s="9"/>
      <c r="J80" s="11">
        <v>34</v>
      </c>
      <c r="K80" s="11" t="str">
        <f t="shared" si="1"/>
        <v>2063 FAKULTET ORGANIZACIJE I INFORMATIKE U VARAŽDINU</v>
      </c>
      <c r="L80" s="12">
        <v>2063</v>
      </c>
      <c r="M80" s="13" t="s">
        <v>454</v>
      </c>
      <c r="N80" s="13" t="s">
        <v>311</v>
      </c>
      <c r="O80" s="13" t="s">
        <v>455</v>
      </c>
      <c r="P80" s="13" t="s">
        <v>406</v>
      </c>
      <c r="Q80" s="14">
        <v>3006107</v>
      </c>
      <c r="R80" s="15" t="s">
        <v>456</v>
      </c>
      <c r="S80" s="15" t="s">
        <v>18</v>
      </c>
      <c r="T80" s="16" t="s">
        <v>17</v>
      </c>
      <c r="U80" s="9"/>
      <c r="V80" s="9"/>
      <c r="W80" s="9"/>
      <c r="X80" s="9"/>
      <c r="Y80" s="9"/>
      <c r="Z80" s="9"/>
      <c r="AA80" s="9"/>
    </row>
    <row r="81" spans="1:27" ht="15.75" hidden="1">
      <c r="A81" s="9"/>
      <c r="B81" s="9"/>
      <c r="C81" s="9"/>
      <c r="D81" s="9"/>
      <c r="E81" s="9"/>
      <c r="F81" s="9"/>
      <c r="G81" s="9"/>
      <c r="H81" s="9"/>
      <c r="I81" s="9"/>
      <c r="J81" s="11">
        <v>1</v>
      </c>
      <c r="K81" s="11" t="str">
        <f t="shared" si="1"/>
        <v>43749 MEĐIMURSKO VELEUČILIŠTE U ČAKOVCU</v>
      </c>
      <c r="L81" s="12">
        <v>43749</v>
      </c>
      <c r="M81" s="13" t="s">
        <v>457</v>
      </c>
      <c r="N81" s="13" t="s">
        <v>458</v>
      </c>
      <c r="O81" s="13" t="s">
        <v>459</v>
      </c>
      <c r="P81" s="13" t="s">
        <v>460</v>
      </c>
      <c r="Q81" s="14">
        <v>2382512</v>
      </c>
      <c r="R81" s="15" t="s">
        <v>461</v>
      </c>
      <c r="S81" s="15" t="s">
        <v>18</v>
      </c>
      <c r="T81" s="16" t="s">
        <v>17</v>
      </c>
      <c r="U81" s="9"/>
      <c r="V81" s="9"/>
      <c r="W81" s="9"/>
      <c r="X81" s="9"/>
      <c r="Y81" s="9"/>
      <c r="Z81" s="9"/>
      <c r="AA81" s="9"/>
    </row>
    <row r="82" spans="1:27" ht="15.75" hidden="1">
      <c r="A82" s="9"/>
      <c r="B82" s="9"/>
      <c r="C82" s="9"/>
      <c r="D82" s="9"/>
      <c r="E82" s="9"/>
      <c r="F82" s="9"/>
      <c r="G82" s="9"/>
      <c r="H82" s="9"/>
      <c r="I82" s="9"/>
      <c r="J82" s="11">
        <v>2</v>
      </c>
      <c r="K82" s="11" t="str">
        <f t="shared" si="1"/>
        <v>22427 TEHNIČKO VELEUČILIŠTE U ZAGREBU</v>
      </c>
      <c r="L82" s="12">
        <v>22427</v>
      </c>
      <c r="M82" s="13" t="s">
        <v>462</v>
      </c>
      <c r="N82" s="13" t="s">
        <v>458</v>
      </c>
      <c r="O82" s="13" t="s">
        <v>463</v>
      </c>
      <c r="P82" s="13" t="s">
        <v>355</v>
      </c>
      <c r="Q82" s="14">
        <v>1398270</v>
      </c>
      <c r="R82" s="15" t="s">
        <v>464</v>
      </c>
      <c r="S82" s="15" t="s">
        <v>18</v>
      </c>
      <c r="T82" s="16" t="s">
        <v>17</v>
      </c>
      <c r="U82" s="9"/>
      <c r="V82" s="9"/>
      <c r="W82" s="9"/>
      <c r="X82" s="9"/>
      <c r="Y82" s="9"/>
      <c r="Z82" s="9"/>
      <c r="AA82" s="9"/>
    </row>
    <row r="83" spans="1:27" ht="15.75" hidden="1">
      <c r="A83" s="9"/>
      <c r="B83" s="9"/>
      <c r="C83" s="9"/>
      <c r="D83" s="9"/>
      <c r="E83" s="9"/>
      <c r="F83" s="9"/>
      <c r="G83" s="9"/>
      <c r="H83" s="9"/>
      <c r="I83" s="9"/>
      <c r="J83" s="11">
        <v>3</v>
      </c>
      <c r="K83" s="11" t="str">
        <f t="shared" si="1"/>
        <v>38446 VELEUČILIŠTE LAVOSLAV RUŽIČKA U VUKOVARU</v>
      </c>
      <c r="L83" s="12">
        <v>38446</v>
      </c>
      <c r="M83" s="13" t="s">
        <v>465</v>
      </c>
      <c r="N83" s="13" t="s">
        <v>458</v>
      </c>
      <c r="O83" s="13" t="s">
        <v>466</v>
      </c>
      <c r="P83" s="13" t="s">
        <v>467</v>
      </c>
      <c r="Q83" s="14">
        <v>1970828</v>
      </c>
      <c r="R83" s="15" t="s">
        <v>468</v>
      </c>
      <c r="S83" s="15" t="s">
        <v>18</v>
      </c>
      <c r="T83" s="16" t="s">
        <v>17</v>
      </c>
      <c r="U83" s="9"/>
      <c r="V83" s="9"/>
      <c r="W83" s="9"/>
      <c r="X83" s="9"/>
      <c r="Y83" s="9"/>
      <c r="Z83" s="9"/>
      <c r="AA83" s="9"/>
    </row>
    <row r="84" spans="1:27" ht="15.75" hidden="1">
      <c r="A84" s="9"/>
      <c r="B84" s="9"/>
      <c r="C84" s="9"/>
      <c r="D84" s="9"/>
      <c r="E84" s="9"/>
      <c r="F84" s="9"/>
      <c r="G84" s="9"/>
      <c r="H84" s="9"/>
      <c r="I84" s="9"/>
      <c r="J84" s="11">
        <v>4</v>
      </c>
      <c r="K84" s="11" t="str">
        <f t="shared" si="1"/>
        <v>38438 VELEUČILIŠTE MARKO MARULIĆ U KNINU</v>
      </c>
      <c r="L84" s="12">
        <v>38438</v>
      </c>
      <c r="M84" s="13" t="s">
        <v>469</v>
      </c>
      <c r="N84" s="13" t="s">
        <v>458</v>
      </c>
      <c r="O84" s="36" t="s">
        <v>470</v>
      </c>
      <c r="P84" s="36" t="s">
        <v>471</v>
      </c>
      <c r="Q84" s="14">
        <v>1963813</v>
      </c>
      <c r="R84" s="15" t="s">
        <v>472</v>
      </c>
      <c r="S84" s="15" t="s">
        <v>18</v>
      </c>
      <c r="T84" s="16" t="s">
        <v>17</v>
      </c>
      <c r="U84" s="9"/>
      <c r="V84" s="9"/>
      <c r="W84" s="9"/>
      <c r="X84" s="9"/>
      <c r="Y84" s="9"/>
      <c r="Z84" s="9"/>
      <c r="AA84" s="9"/>
    </row>
    <row r="85" spans="1:27" ht="15.75" hidden="1">
      <c r="A85" s="9"/>
      <c r="B85" s="9"/>
      <c r="C85" s="9"/>
      <c r="D85" s="9"/>
      <c r="E85" s="9"/>
      <c r="F85" s="9"/>
      <c r="G85" s="9"/>
      <c r="H85" s="9"/>
      <c r="I85" s="9"/>
      <c r="J85" s="11">
        <v>5</v>
      </c>
      <c r="K85" s="11" t="str">
        <f t="shared" si="1"/>
        <v>41185 VELEUČILIŠTE NIKOLA TESLA U GOSPIĆU</v>
      </c>
      <c r="L85" s="12">
        <v>41185</v>
      </c>
      <c r="M85" s="13" t="s">
        <v>473</v>
      </c>
      <c r="N85" s="13" t="s">
        <v>458</v>
      </c>
      <c r="O85" s="13" t="s">
        <v>474</v>
      </c>
      <c r="P85" s="13" t="s">
        <v>475</v>
      </c>
      <c r="Q85" s="14">
        <v>2103133</v>
      </c>
      <c r="R85" s="15" t="s">
        <v>476</v>
      </c>
      <c r="S85" s="15" t="s">
        <v>18</v>
      </c>
      <c r="T85" s="16" t="s">
        <v>17</v>
      </c>
      <c r="U85" s="9"/>
      <c r="V85" s="9"/>
      <c r="W85" s="9"/>
      <c r="X85" s="9"/>
      <c r="Y85" s="9"/>
      <c r="Z85" s="9"/>
      <c r="AA85" s="9"/>
    </row>
    <row r="86" spans="1:27" ht="15.75" hidden="1">
      <c r="A86" s="9"/>
      <c r="B86" s="9"/>
      <c r="C86" s="9"/>
      <c r="D86" s="9"/>
      <c r="E86" s="9"/>
      <c r="F86" s="9"/>
      <c r="G86" s="9"/>
      <c r="H86" s="9"/>
      <c r="I86" s="9"/>
      <c r="J86" s="11">
        <v>6</v>
      </c>
      <c r="K86" s="11" t="str">
        <f t="shared" si="1"/>
        <v>21053 VELEUČILIŠTE U KARLOVCU</v>
      </c>
      <c r="L86" s="12">
        <v>21053</v>
      </c>
      <c r="M86" s="13" t="s">
        <v>477</v>
      </c>
      <c r="N86" s="13" t="s">
        <v>458</v>
      </c>
      <c r="O86" s="13" t="s">
        <v>478</v>
      </c>
      <c r="P86" s="13" t="s">
        <v>479</v>
      </c>
      <c r="Q86" s="14">
        <v>1286030</v>
      </c>
      <c r="R86" s="15" t="s">
        <v>480</v>
      </c>
      <c r="S86" s="15" t="s">
        <v>18</v>
      </c>
      <c r="T86" s="16" t="s">
        <v>17</v>
      </c>
      <c r="U86" s="9"/>
      <c r="V86" s="9"/>
      <c r="W86" s="9"/>
      <c r="X86" s="9"/>
      <c r="Y86" s="9"/>
      <c r="Z86" s="9"/>
      <c r="AA86" s="9"/>
    </row>
    <row r="87" spans="1:27" ht="15.75" hidden="1">
      <c r="A87" s="9"/>
      <c r="B87" s="9"/>
      <c r="C87" s="9"/>
      <c r="D87" s="9"/>
      <c r="E87" s="9"/>
      <c r="F87" s="9"/>
      <c r="G87" s="9"/>
      <c r="H87" s="9"/>
      <c r="I87" s="9"/>
      <c r="J87" s="11">
        <v>7</v>
      </c>
      <c r="K87" s="11" t="str">
        <f t="shared" si="1"/>
        <v>22398 VELEUČILIŠTE U POŽEGI</v>
      </c>
      <c r="L87" s="12">
        <v>22398</v>
      </c>
      <c r="M87" s="13" t="s">
        <v>481</v>
      </c>
      <c r="N87" s="13" t="s">
        <v>458</v>
      </c>
      <c r="O87" s="13" t="s">
        <v>482</v>
      </c>
      <c r="P87" s="13" t="s">
        <v>483</v>
      </c>
      <c r="Q87" s="14">
        <v>1395521</v>
      </c>
      <c r="R87" s="15" t="s">
        <v>484</v>
      </c>
      <c r="S87" s="15" t="s">
        <v>18</v>
      </c>
      <c r="T87" s="16" t="s">
        <v>17</v>
      </c>
      <c r="U87" s="9"/>
      <c r="V87" s="9"/>
      <c r="W87" s="9"/>
      <c r="X87" s="9"/>
      <c r="Y87" s="9"/>
      <c r="Z87" s="9"/>
      <c r="AA87" s="9"/>
    </row>
    <row r="88" spans="1:27" ht="15.75" hidden="1">
      <c r="A88" s="9"/>
      <c r="B88" s="9"/>
      <c r="C88" s="9"/>
      <c r="D88" s="9"/>
      <c r="E88" s="9"/>
      <c r="F88" s="9"/>
      <c r="G88" s="9"/>
      <c r="H88" s="9"/>
      <c r="I88" s="9"/>
      <c r="J88" s="11">
        <v>8</v>
      </c>
      <c r="K88" s="11" t="str">
        <f t="shared" si="1"/>
        <v>22494 VELEUČILIŠTE U RIJECI</v>
      </c>
      <c r="L88" s="12">
        <v>22494</v>
      </c>
      <c r="M88" s="13" t="s">
        <v>485</v>
      </c>
      <c r="N88" s="13" t="s">
        <v>458</v>
      </c>
      <c r="O88" s="13" t="s">
        <v>486</v>
      </c>
      <c r="P88" s="13" t="s">
        <v>271</v>
      </c>
      <c r="Q88" s="14">
        <v>1387332</v>
      </c>
      <c r="R88" s="15" t="s">
        <v>487</v>
      </c>
      <c r="S88" s="15" t="s">
        <v>18</v>
      </c>
      <c r="T88" s="16" t="s">
        <v>17</v>
      </c>
      <c r="U88" s="9"/>
      <c r="V88" s="9"/>
      <c r="W88" s="9"/>
      <c r="X88" s="9"/>
      <c r="Y88" s="9"/>
      <c r="Z88" s="9"/>
      <c r="AA88" s="9"/>
    </row>
    <row r="89" spans="1:27" ht="15.75" hidden="1">
      <c r="A89" s="9"/>
      <c r="B89" s="9"/>
      <c r="C89" s="9"/>
      <c r="D89" s="9"/>
      <c r="E89" s="9"/>
      <c r="F89" s="9"/>
      <c r="G89" s="9"/>
      <c r="H89" s="9"/>
      <c r="I89" s="9"/>
      <c r="J89" s="11">
        <v>9</v>
      </c>
      <c r="K89" s="11" t="str">
        <f t="shared" si="1"/>
        <v>41337 VELEUČILIŠTE U SLAVONSKOM BRODU</v>
      </c>
      <c r="L89" s="12">
        <v>41337</v>
      </c>
      <c r="M89" s="13" t="s">
        <v>488</v>
      </c>
      <c r="N89" s="13" t="s">
        <v>458</v>
      </c>
      <c r="O89" s="13" t="s">
        <v>489</v>
      </c>
      <c r="P89" s="13" t="s">
        <v>239</v>
      </c>
      <c r="Q89" s="14">
        <v>2152622</v>
      </c>
      <c r="R89" s="15" t="s">
        <v>490</v>
      </c>
      <c r="S89" s="15" t="s">
        <v>18</v>
      </c>
      <c r="T89" s="16" t="s">
        <v>17</v>
      </c>
      <c r="U89" s="9"/>
      <c r="V89" s="9"/>
      <c r="W89" s="9"/>
      <c r="X89" s="9"/>
      <c r="Y89" s="9"/>
      <c r="Z89" s="9"/>
      <c r="AA89" s="9"/>
    </row>
    <row r="90" spans="1:27" ht="15.75" hidden="1">
      <c r="A90" s="9"/>
      <c r="B90" s="9"/>
      <c r="C90" s="9"/>
      <c r="D90" s="9"/>
      <c r="E90" s="9"/>
      <c r="F90" s="9"/>
      <c r="G90" s="9"/>
      <c r="H90" s="9"/>
      <c r="I90" s="9"/>
      <c r="J90" s="11">
        <v>10</v>
      </c>
      <c r="K90" s="11" t="str">
        <f>L90&amp;" "&amp;M90</f>
        <v>22824 VELEUČILIŠTE U ŠIBENIKU</v>
      </c>
      <c r="L90" s="12">
        <v>22824</v>
      </c>
      <c r="M90" s="13" t="s">
        <v>491</v>
      </c>
      <c r="N90" s="13" t="s">
        <v>458</v>
      </c>
      <c r="O90" s="13" t="s">
        <v>492</v>
      </c>
      <c r="P90" s="13" t="s">
        <v>493</v>
      </c>
      <c r="Q90" s="14">
        <v>2100673</v>
      </c>
      <c r="R90" s="15" t="s">
        <v>494</v>
      </c>
      <c r="S90" s="15" t="s">
        <v>18</v>
      </c>
      <c r="T90" s="16" t="s">
        <v>17</v>
      </c>
      <c r="U90" s="9"/>
      <c r="V90" s="9"/>
      <c r="W90" s="9"/>
      <c r="X90" s="9"/>
      <c r="Y90" s="9"/>
      <c r="Z90" s="9"/>
      <c r="AA90" s="9"/>
    </row>
    <row r="91" spans="1:27" ht="15.75" hidden="1">
      <c r="A91" s="9"/>
      <c r="B91" s="9"/>
      <c r="C91" s="9"/>
      <c r="D91" s="9"/>
      <c r="E91" s="9"/>
      <c r="F91" s="9"/>
      <c r="G91" s="9"/>
      <c r="H91" s="9"/>
      <c r="I91" s="9"/>
      <c r="J91" s="8" t="s">
        <v>175</v>
      </c>
      <c r="K91" s="11" t="str">
        <f>L91&amp;" "&amp;M91</f>
        <v xml:space="preserve"> VELEUČILIŠTE HRVATSKO ZAGORJE</v>
      </c>
      <c r="M91" s="8" t="s">
        <v>495</v>
      </c>
      <c r="N91" s="13" t="s">
        <v>458</v>
      </c>
      <c r="S91" s="15" t="s">
        <v>18</v>
      </c>
      <c r="T91" s="16" t="s">
        <v>17</v>
      </c>
      <c r="U91" s="9"/>
      <c r="V91" s="9"/>
      <c r="W91" s="9"/>
      <c r="X91" s="9"/>
      <c r="Y91" s="9"/>
      <c r="Z91" s="9"/>
      <c r="AA91" s="9"/>
    </row>
    <row r="92" spans="1:27" ht="15.75" hidden="1">
      <c r="A92" s="9"/>
      <c r="B92" s="9"/>
      <c r="C92" s="9"/>
      <c r="D92" s="9"/>
      <c r="E92" s="9"/>
      <c r="F92" s="9"/>
      <c r="G92" s="9"/>
      <c r="H92" s="9"/>
      <c r="I92" s="9"/>
      <c r="J92" s="11">
        <v>11</v>
      </c>
      <c r="K92" s="11" t="str">
        <f>L92&amp;" "&amp;M92</f>
        <v>42993 VISOKA ŠKOLA ZA MENEDŽMENT U TURIZMU I INFORMATICI</v>
      </c>
      <c r="L92" s="12">
        <v>42993</v>
      </c>
      <c r="M92" s="13" t="s">
        <v>496</v>
      </c>
      <c r="N92" s="13" t="s">
        <v>458</v>
      </c>
      <c r="O92" s="13" t="s">
        <v>497</v>
      </c>
      <c r="P92" s="13" t="s">
        <v>498</v>
      </c>
      <c r="Q92" s="14">
        <v>2282208</v>
      </c>
      <c r="R92" s="15" t="s">
        <v>499</v>
      </c>
      <c r="S92" s="15" t="s">
        <v>18</v>
      </c>
      <c r="T92" s="16" t="s">
        <v>17</v>
      </c>
      <c r="U92" s="9"/>
      <c r="V92" s="9"/>
      <c r="W92" s="9"/>
      <c r="X92" s="9"/>
      <c r="Y92" s="9"/>
      <c r="Z92" s="9"/>
      <c r="AA92" s="9"/>
    </row>
    <row r="93" spans="1:27" ht="15.75" hidden="1">
      <c r="A93" s="9"/>
      <c r="B93" s="9"/>
      <c r="C93" s="9"/>
      <c r="D93" s="9"/>
      <c r="E93" s="9"/>
      <c r="F93" s="9"/>
      <c r="G93" s="9"/>
      <c r="H93" s="9"/>
      <c r="I93" s="9"/>
      <c r="J93" s="11">
        <v>12</v>
      </c>
      <c r="K93" s="11" t="str">
        <f>L93&amp;" "&amp;M93</f>
        <v>22371 VISOKO GOSPODARSKO UČILIŠTE U KRIŽEVCIMA</v>
      </c>
      <c r="L93" s="12">
        <v>22371</v>
      </c>
      <c r="M93" s="13" t="s">
        <v>500</v>
      </c>
      <c r="N93" s="13" t="s">
        <v>458</v>
      </c>
      <c r="O93" s="13" t="s">
        <v>501</v>
      </c>
      <c r="P93" s="13" t="s">
        <v>502</v>
      </c>
      <c r="Q93" s="14">
        <v>1411942</v>
      </c>
      <c r="R93" s="15" t="s">
        <v>503</v>
      </c>
      <c r="S93" s="15" t="s">
        <v>18</v>
      </c>
      <c r="T93" s="16" t="s">
        <v>17</v>
      </c>
      <c r="U93" s="9"/>
      <c r="V93" s="9"/>
      <c r="W93" s="9"/>
      <c r="X93" s="9"/>
      <c r="Y93" s="9"/>
      <c r="Z93" s="9"/>
      <c r="AA93" s="9"/>
    </row>
    <row r="94" spans="1:27" ht="15.75" hidden="1">
      <c r="A94" s="9"/>
      <c r="B94" s="9"/>
      <c r="C94" s="9"/>
      <c r="D94" s="9"/>
      <c r="E94" s="9"/>
      <c r="F94" s="9"/>
      <c r="G94" s="9"/>
      <c r="H94" s="9"/>
      <c r="I94" s="9"/>
      <c r="J94" s="11">
        <v>13</v>
      </c>
      <c r="K94" s="11" t="str">
        <f>L94&amp;" "&amp;M94</f>
        <v>22832 ZDRAVSTVENO VELEUČILIŠTE</v>
      </c>
      <c r="L94" s="12">
        <v>22832</v>
      </c>
      <c r="M94" s="13" t="s">
        <v>504</v>
      </c>
      <c r="N94" s="13" t="s">
        <v>458</v>
      </c>
      <c r="O94" s="13" t="s">
        <v>505</v>
      </c>
      <c r="P94" s="13" t="s">
        <v>355</v>
      </c>
      <c r="Q94" s="14">
        <v>1274597</v>
      </c>
      <c r="R94" s="15" t="s">
        <v>506</v>
      </c>
      <c r="S94" s="15" t="s">
        <v>18</v>
      </c>
      <c r="T94" s="16" t="s">
        <v>17</v>
      </c>
      <c r="U94" s="9"/>
      <c r="V94" s="9"/>
      <c r="W94" s="9"/>
      <c r="X94" s="9"/>
      <c r="Y94" s="9"/>
      <c r="Z94" s="9"/>
      <c r="AA94" s="9"/>
    </row>
    <row r="95" spans="1:27" ht="15.75" hidden="1">
      <c r="A95" s="9"/>
      <c r="B95" s="9"/>
      <c r="C95" s="9"/>
      <c r="D95" s="9"/>
      <c r="E95" s="9"/>
      <c r="F95" s="9"/>
      <c r="G95" s="9"/>
      <c r="H95" s="9"/>
      <c r="I95" s="9"/>
      <c r="J95" s="11">
        <v>1</v>
      </c>
      <c r="K95" s="11" t="str">
        <f t="shared" ref="K95:K129" si="2">L95&amp;" "&amp;M95</f>
        <v>2918 EKONOMSKI INSTITUT ZAGREB</v>
      </c>
      <c r="L95" s="12">
        <v>2918</v>
      </c>
      <c r="M95" s="13" t="s">
        <v>507</v>
      </c>
      <c r="N95" s="13" t="s">
        <v>458</v>
      </c>
      <c r="O95" s="13" t="s">
        <v>508</v>
      </c>
      <c r="P95" s="13" t="s">
        <v>355</v>
      </c>
      <c r="Q95" s="14">
        <v>3219925</v>
      </c>
      <c r="R95" s="15" t="s">
        <v>509</v>
      </c>
      <c r="S95" s="15" t="s">
        <v>510</v>
      </c>
      <c r="T95" s="16" t="s">
        <v>511</v>
      </c>
      <c r="U95" s="9"/>
      <c r="V95" s="9"/>
      <c r="W95" s="9"/>
      <c r="X95" s="9"/>
      <c r="Y95" s="9"/>
      <c r="Z95" s="9"/>
      <c r="AA95" s="9"/>
    </row>
    <row r="96" spans="1:27" ht="15.75" hidden="1">
      <c r="A96" s="9"/>
      <c r="B96" s="9"/>
      <c r="C96" s="9"/>
      <c r="D96" s="9"/>
      <c r="E96" s="9"/>
      <c r="F96" s="9"/>
      <c r="G96" s="9"/>
      <c r="H96" s="9"/>
      <c r="I96" s="9"/>
      <c r="J96" s="11">
        <v>2</v>
      </c>
      <c r="K96" s="11" t="str">
        <f t="shared" si="2"/>
        <v>2934 HRVATSKI INSTITUT ZA POVIJEST</v>
      </c>
      <c r="L96" s="12">
        <v>2934</v>
      </c>
      <c r="M96" s="13" t="s">
        <v>512</v>
      </c>
      <c r="N96" s="13" t="s">
        <v>458</v>
      </c>
      <c r="O96" s="13" t="s">
        <v>513</v>
      </c>
      <c r="P96" s="13" t="s">
        <v>355</v>
      </c>
      <c r="Q96" s="14">
        <v>3207153</v>
      </c>
      <c r="R96" s="15" t="s">
        <v>514</v>
      </c>
      <c r="S96" s="15" t="s">
        <v>510</v>
      </c>
      <c r="T96" s="16" t="s">
        <v>511</v>
      </c>
      <c r="U96" s="9"/>
      <c r="V96" s="9"/>
      <c r="W96" s="9"/>
      <c r="X96" s="9"/>
      <c r="Y96" s="9"/>
      <c r="Z96" s="9"/>
      <c r="AA96" s="9"/>
    </row>
    <row r="97" spans="1:27" ht="15.75" hidden="1">
      <c r="A97" s="9"/>
      <c r="B97" s="9"/>
      <c r="C97" s="9"/>
      <c r="D97" s="9"/>
      <c r="E97" s="9"/>
      <c r="F97" s="9"/>
      <c r="G97" s="9"/>
      <c r="H97" s="9"/>
      <c r="I97" s="9"/>
      <c r="J97" s="11">
        <v>3</v>
      </c>
      <c r="K97" s="11" t="str">
        <f t="shared" si="2"/>
        <v>2983 HRVATSKI VETERINARSKI INSTITUT</v>
      </c>
      <c r="L97" s="12">
        <v>2983</v>
      </c>
      <c r="M97" s="13" t="s">
        <v>515</v>
      </c>
      <c r="N97" s="13" t="s">
        <v>458</v>
      </c>
      <c r="O97" s="13" t="s">
        <v>516</v>
      </c>
      <c r="P97" s="13" t="s">
        <v>355</v>
      </c>
      <c r="Q97" s="14">
        <v>3274098</v>
      </c>
      <c r="R97" s="15" t="s">
        <v>517</v>
      </c>
      <c r="S97" s="15" t="s">
        <v>510</v>
      </c>
      <c r="T97" s="16" t="s">
        <v>511</v>
      </c>
      <c r="U97" s="9"/>
      <c r="V97" s="9"/>
      <c r="W97" s="9"/>
      <c r="X97" s="9"/>
      <c r="Y97" s="9"/>
      <c r="Z97" s="9"/>
      <c r="AA97" s="9"/>
    </row>
    <row r="98" spans="1:27" ht="15.75" hidden="1">
      <c r="A98" s="9"/>
      <c r="B98" s="9"/>
      <c r="C98" s="9"/>
      <c r="D98" s="9"/>
      <c r="E98" s="9"/>
      <c r="F98" s="9"/>
      <c r="G98" s="9"/>
      <c r="H98" s="9"/>
      <c r="I98" s="9"/>
      <c r="J98" s="11">
        <v>4</v>
      </c>
      <c r="K98" s="11" t="str">
        <f t="shared" si="2"/>
        <v>3105 INSTITUT DRUŠTVENIH ZNANOSTI IVO PILAR</v>
      </c>
      <c r="L98" s="12">
        <v>3105</v>
      </c>
      <c r="M98" s="13" t="s">
        <v>518</v>
      </c>
      <c r="N98" s="13" t="s">
        <v>458</v>
      </c>
      <c r="O98" s="13" t="s">
        <v>519</v>
      </c>
      <c r="P98" s="13" t="s">
        <v>355</v>
      </c>
      <c r="Q98" s="14">
        <v>3793028</v>
      </c>
      <c r="R98" s="15" t="s">
        <v>520</v>
      </c>
      <c r="S98" s="15" t="s">
        <v>510</v>
      </c>
      <c r="T98" s="16" t="s">
        <v>511</v>
      </c>
      <c r="U98" s="9"/>
      <c r="V98" s="9"/>
      <c r="W98" s="9"/>
      <c r="X98" s="9"/>
      <c r="Y98" s="9"/>
      <c r="Z98" s="9"/>
      <c r="AA98" s="9"/>
    </row>
    <row r="99" spans="1:27" ht="15.75" hidden="1">
      <c r="A99" s="9"/>
      <c r="B99" s="9"/>
      <c r="C99" s="9"/>
      <c r="D99" s="9"/>
      <c r="E99" s="9"/>
      <c r="F99" s="9"/>
      <c r="G99" s="9"/>
      <c r="H99" s="9"/>
      <c r="I99" s="9"/>
      <c r="J99" s="11">
        <v>5</v>
      </c>
      <c r="K99" s="11" t="str">
        <f t="shared" si="2"/>
        <v>3041 INSTITUT RUĐER BOŠKOVIĆ</v>
      </c>
      <c r="L99" s="12">
        <v>3041</v>
      </c>
      <c r="M99" s="13" t="s">
        <v>521</v>
      </c>
      <c r="N99" s="13" t="s">
        <v>458</v>
      </c>
      <c r="O99" s="13" t="s">
        <v>522</v>
      </c>
      <c r="P99" s="13" t="s">
        <v>355</v>
      </c>
      <c r="Q99" s="14">
        <v>3270289</v>
      </c>
      <c r="R99" s="15" t="s">
        <v>523</v>
      </c>
      <c r="S99" s="15" t="s">
        <v>510</v>
      </c>
      <c r="T99" s="16" t="s">
        <v>511</v>
      </c>
      <c r="U99" s="9"/>
      <c r="V99" s="9"/>
      <c r="W99" s="9"/>
      <c r="X99" s="9"/>
      <c r="Y99" s="9"/>
      <c r="Z99" s="9"/>
      <c r="AA99" s="9"/>
    </row>
    <row r="100" spans="1:27" ht="15.75" hidden="1">
      <c r="A100" s="9"/>
      <c r="B100" s="9"/>
      <c r="C100" s="9"/>
      <c r="D100" s="9"/>
      <c r="E100" s="9"/>
      <c r="F100" s="9"/>
      <c r="G100" s="9"/>
      <c r="H100" s="9"/>
      <c r="I100" s="9"/>
      <c r="J100" s="11">
        <v>6</v>
      </c>
      <c r="K100" s="11" t="str">
        <f t="shared" si="2"/>
        <v>3113 INSTITUT ZA ANTROPOLOGIJU</v>
      </c>
      <c r="L100" s="12">
        <v>3113</v>
      </c>
      <c r="M100" s="13" t="s">
        <v>524</v>
      </c>
      <c r="N100" s="13" t="s">
        <v>458</v>
      </c>
      <c r="O100" s="13" t="s">
        <v>525</v>
      </c>
      <c r="P100" s="13" t="s">
        <v>355</v>
      </c>
      <c r="Q100" s="14">
        <v>3817121</v>
      </c>
      <c r="R100" s="15" t="s">
        <v>526</v>
      </c>
      <c r="S100" s="15" t="s">
        <v>510</v>
      </c>
      <c r="T100" s="16" t="s">
        <v>511</v>
      </c>
      <c r="U100" s="9"/>
      <c r="V100" s="9"/>
      <c r="W100" s="9"/>
      <c r="X100" s="9"/>
      <c r="Y100" s="9"/>
      <c r="Z100" s="9"/>
      <c r="AA100" s="9"/>
    </row>
    <row r="101" spans="1:27" ht="15.75" hidden="1">
      <c r="A101" s="9"/>
      <c r="B101" s="9"/>
      <c r="C101" s="9"/>
      <c r="D101" s="9"/>
      <c r="E101" s="9"/>
      <c r="F101" s="9"/>
      <c r="G101" s="9"/>
      <c r="H101" s="9"/>
      <c r="I101" s="9"/>
      <c r="J101" s="11">
        <v>7</v>
      </c>
      <c r="K101" s="11" t="str">
        <f t="shared" si="2"/>
        <v>3121 INSTITUT ZA ARHEOLOGIJU</v>
      </c>
      <c r="L101" s="12">
        <v>3121</v>
      </c>
      <c r="M101" s="13" t="s">
        <v>527</v>
      </c>
      <c r="N101" s="13" t="s">
        <v>458</v>
      </c>
      <c r="O101" s="13" t="s">
        <v>525</v>
      </c>
      <c r="P101" s="13" t="s">
        <v>355</v>
      </c>
      <c r="Q101" s="14">
        <v>3937658</v>
      </c>
      <c r="R101" s="15" t="s">
        <v>528</v>
      </c>
      <c r="S101" s="15" t="s">
        <v>510</v>
      </c>
      <c r="T101" s="16" t="s">
        <v>511</v>
      </c>
      <c r="U101" s="9"/>
      <c r="V101" s="9"/>
      <c r="W101" s="9"/>
      <c r="X101" s="9"/>
      <c r="Y101" s="9"/>
      <c r="Z101" s="9"/>
      <c r="AA101" s="9"/>
    </row>
    <row r="102" spans="1:27" ht="15.75" hidden="1">
      <c r="A102" s="9"/>
      <c r="B102" s="9"/>
      <c r="C102" s="9"/>
      <c r="D102" s="9"/>
      <c r="E102" s="9"/>
      <c r="F102" s="9"/>
      <c r="G102" s="9"/>
      <c r="H102" s="9"/>
      <c r="I102" s="9"/>
      <c r="J102" s="11">
        <v>8</v>
      </c>
      <c r="K102" s="11" t="str">
        <f t="shared" si="2"/>
        <v>3050 INSTITUT ZA DRUŠTVENA ISTRAŽIVANJA</v>
      </c>
      <c r="L102" s="12">
        <v>3050</v>
      </c>
      <c r="M102" s="13" t="s">
        <v>529</v>
      </c>
      <c r="N102" s="13" t="s">
        <v>458</v>
      </c>
      <c r="O102" s="13" t="s">
        <v>530</v>
      </c>
      <c r="P102" s="13" t="s">
        <v>355</v>
      </c>
      <c r="Q102" s="14">
        <v>3205118</v>
      </c>
      <c r="R102" s="15" t="s">
        <v>531</v>
      </c>
      <c r="S102" s="15" t="s">
        <v>510</v>
      </c>
      <c r="T102" s="16" t="s">
        <v>511</v>
      </c>
      <c r="U102" s="9"/>
      <c r="V102" s="9"/>
      <c r="W102" s="9"/>
      <c r="X102" s="9"/>
      <c r="Y102" s="9"/>
      <c r="Z102" s="9"/>
      <c r="AA102" s="9"/>
    </row>
    <row r="103" spans="1:27" ht="15.75" hidden="1">
      <c r="A103" s="9"/>
      <c r="B103" s="9"/>
      <c r="C103" s="9"/>
      <c r="D103" s="9"/>
      <c r="E103" s="9"/>
      <c r="F103" s="9"/>
      <c r="G103" s="9"/>
      <c r="H103" s="9"/>
      <c r="I103" s="9"/>
      <c r="J103" s="11">
        <v>9</v>
      </c>
      <c r="K103" s="11" t="str">
        <f t="shared" si="2"/>
        <v>3084 INSTITUT ZA ETNOLOGIJU I FOLKLORISTIKU</v>
      </c>
      <c r="L103" s="12">
        <v>3084</v>
      </c>
      <c r="M103" s="13" t="s">
        <v>532</v>
      </c>
      <c r="N103" s="13" t="s">
        <v>458</v>
      </c>
      <c r="O103" s="13" t="s">
        <v>533</v>
      </c>
      <c r="P103" s="13" t="s">
        <v>355</v>
      </c>
      <c r="Q103" s="14">
        <v>3724042</v>
      </c>
      <c r="R103" s="15" t="s">
        <v>534</v>
      </c>
      <c r="S103" s="15" t="s">
        <v>510</v>
      </c>
      <c r="T103" s="16" t="s">
        <v>511</v>
      </c>
      <c r="U103" s="9"/>
      <c r="V103" s="9"/>
      <c r="W103" s="9"/>
      <c r="X103" s="9"/>
      <c r="Y103" s="9"/>
      <c r="Z103" s="9"/>
      <c r="AA103" s="9"/>
    </row>
    <row r="104" spans="1:27" ht="15.75" hidden="1">
      <c r="A104" s="9"/>
      <c r="B104" s="9"/>
      <c r="C104" s="9"/>
      <c r="D104" s="9"/>
      <c r="E104" s="9"/>
      <c r="F104" s="9"/>
      <c r="G104" s="9"/>
      <c r="H104" s="9"/>
      <c r="I104" s="9"/>
      <c r="J104" s="11">
        <v>10</v>
      </c>
      <c r="K104" s="11" t="str">
        <f t="shared" si="2"/>
        <v>3092 INSTITUT ZA FILOZOFIJU</v>
      </c>
      <c r="L104" s="12">
        <v>3092</v>
      </c>
      <c r="M104" s="13" t="s">
        <v>535</v>
      </c>
      <c r="N104" s="13" t="s">
        <v>458</v>
      </c>
      <c r="O104" s="13" t="s">
        <v>536</v>
      </c>
      <c r="P104" s="13" t="s">
        <v>355</v>
      </c>
      <c r="Q104" s="14">
        <v>3772047</v>
      </c>
      <c r="R104" s="15" t="s">
        <v>537</v>
      </c>
      <c r="S104" s="15" t="s">
        <v>510</v>
      </c>
      <c r="T104" s="16" t="s">
        <v>511</v>
      </c>
      <c r="U104" s="9"/>
      <c r="V104" s="9"/>
      <c r="W104" s="9"/>
      <c r="X104" s="9"/>
      <c r="Y104" s="9"/>
      <c r="Z104" s="9"/>
      <c r="AA104" s="9"/>
    </row>
    <row r="105" spans="1:27" ht="15.75" hidden="1">
      <c r="A105" s="9"/>
      <c r="B105" s="9"/>
      <c r="C105" s="9"/>
      <c r="D105" s="9"/>
      <c r="E105" s="9"/>
      <c r="F105" s="9"/>
      <c r="G105" s="9"/>
      <c r="H105" s="9"/>
      <c r="I105" s="9"/>
      <c r="J105" s="11">
        <v>11</v>
      </c>
      <c r="K105" s="11" t="str">
        <f t="shared" si="2"/>
        <v>2975 INSTITUT ZA FIZIKU</v>
      </c>
      <c r="L105" s="12">
        <v>2975</v>
      </c>
      <c r="M105" s="13" t="s">
        <v>538</v>
      </c>
      <c r="N105" s="13" t="s">
        <v>458</v>
      </c>
      <c r="O105" s="13" t="s">
        <v>522</v>
      </c>
      <c r="P105" s="13" t="s">
        <v>355</v>
      </c>
      <c r="Q105" s="14">
        <v>3270424</v>
      </c>
      <c r="R105" s="15" t="s">
        <v>539</v>
      </c>
      <c r="S105" s="15" t="s">
        <v>510</v>
      </c>
      <c r="T105" s="16" t="s">
        <v>511</v>
      </c>
      <c r="U105" s="9"/>
      <c r="V105" s="9"/>
      <c r="W105" s="9"/>
      <c r="X105" s="9"/>
      <c r="Y105" s="9"/>
      <c r="Z105" s="9"/>
      <c r="AA105" s="9"/>
    </row>
    <row r="106" spans="1:27" ht="15.75" hidden="1">
      <c r="A106" s="9"/>
      <c r="B106" s="9"/>
      <c r="C106" s="9"/>
      <c r="D106" s="9"/>
      <c r="E106" s="9"/>
      <c r="F106" s="9"/>
      <c r="G106" s="9"/>
      <c r="H106" s="9"/>
      <c r="I106" s="9"/>
      <c r="J106" s="11">
        <v>12</v>
      </c>
      <c r="K106" s="11" t="str">
        <f t="shared" si="2"/>
        <v xml:space="preserve">22525 HRVATSKI GEOLOŠKI INSTITUT </v>
      </c>
      <c r="L106" s="12">
        <v>22525</v>
      </c>
      <c r="M106" s="13" t="s">
        <v>540</v>
      </c>
      <c r="N106" s="13" t="s">
        <v>458</v>
      </c>
      <c r="O106" s="13" t="s">
        <v>541</v>
      </c>
      <c r="P106" s="13" t="s">
        <v>355</v>
      </c>
      <c r="Q106" s="14">
        <v>3219518</v>
      </c>
      <c r="R106" s="15" t="s">
        <v>542</v>
      </c>
      <c r="S106" s="15" t="s">
        <v>510</v>
      </c>
      <c r="T106" s="16" t="s">
        <v>511</v>
      </c>
      <c r="U106" s="9"/>
      <c r="V106" s="9"/>
      <c r="W106" s="9"/>
      <c r="X106" s="9"/>
      <c r="Y106" s="9"/>
      <c r="Z106" s="9"/>
      <c r="AA106" s="9"/>
    </row>
    <row r="107" spans="1:27" ht="15.75" hidden="1">
      <c r="A107" s="9"/>
      <c r="B107" s="9"/>
      <c r="C107" s="9"/>
      <c r="D107" s="9"/>
      <c r="E107" s="9"/>
      <c r="F107" s="9"/>
      <c r="G107" s="9"/>
      <c r="H107" s="9"/>
      <c r="I107" s="9"/>
      <c r="J107" s="11">
        <v>13</v>
      </c>
      <c r="K107" s="11" t="str">
        <f t="shared" si="2"/>
        <v>21061 INSTITUT ZA HRVATSKI JEZIK I JEZIKOSLOVLJE</v>
      </c>
      <c r="L107" s="12">
        <v>21061</v>
      </c>
      <c r="M107" s="13" t="s">
        <v>543</v>
      </c>
      <c r="N107" s="13" t="s">
        <v>458</v>
      </c>
      <c r="O107" s="13" t="s">
        <v>544</v>
      </c>
      <c r="P107" s="13" t="s">
        <v>355</v>
      </c>
      <c r="Q107" s="14">
        <v>1259571</v>
      </c>
      <c r="R107" s="15" t="s">
        <v>545</v>
      </c>
      <c r="S107" s="15" t="s">
        <v>510</v>
      </c>
      <c r="T107" s="16" t="s">
        <v>511</v>
      </c>
      <c r="U107" s="9"/>
      <c r="V107" s="9"/>
      <c r="W107" s="9"/>
      <c r="X107" s="9"/>
      <c r="Y107" s="9"/>
      <c r="Z107" s="9"/>
      <c r="AA107" s="9"/>
    </row>
    <row r="108" spans="1:27" ht="15.75" hidden="1">
      <c r="A108" s="9"/>
      <c r="B108" s="9"/>
      <c r="C108" s="9"/>
      <c r="D108" s="9"/>
      <c r="E108" s="9"/>
      <c r="F108" s="9"/>
      <c r="G108" s="9"/>
      <c r="H108" s="9"/>
      <c r="I108" s="9"/>
      <c r="J108" s="11">
        <v>14</v>
      </c>
      <c r="K108" s="11" t="str">
        <f t="shared" si="2"/>
        <v>3025 INSTITUT ZA JADRANSKE KULTURE I MELIORACIJU KRŠA</v>
      </c>
      <c r="L108" s="12">
        <v>3025</v>
      </c>
      <c r="M108" s="13" t="s">
        <v>546</v>
      </c>
      <c r="N108" s="13" t="s">
        <v>458</v>
      </c>
      <c r="O108" s="13" t="s">
        <v>547</v>
      </c>
      <c r="P108" s="13" t="s">
        <v>313</v>
      </c>
      <c r="Q108" s="14">
        <v>3140792</v>
      </c>
      <c r="R108" s="15" t="s">
        <v>548</v>
      </c>
      <c r="S108" s="15" t="s">
        <v>510</v>
      </c>
      <c r="T108" s="16" t="s">
        <v>511</v>
      </c>
      <c r="U108" s="9"/>
      <c r="V108" s="9"/>
      <c r="W108" s="9"/>
      <c r="X108" s="9"/>
      <c r="Y108" s="9"/>
      <c r="Z108" s="9"/>
      <c r="AA108" s="9"/>
    </row>
    <row r="109" spans="1:27" ht="15.75" hidden="1">
      <c r="A109" s="9"/>
      <c r="B109" s="9"/>
      <c r="C109" s="9"/>
      <c r="D109" s="9"/>
      <c r="E109" s="9"/>
      <c r="F109" s="9"/>
      <c r="G109" s="9"/>
      <c r="H109" s="9"/>
      <c r="I109" s="9"/>
      <c r="J109" s="11">
        <v>15</v>
      </c>
      <c r="K109" s="11" t="str">
        <f t="shared" si="2"/>
        <v>23286 INSTITUT ZA JAVNE FINANCIJE</v>
      </c>
      <c r="L109" s="12">
        <v>23286</v>
      </c>
      <c r="M109" s="13" t="s">
        <v>549</v>
      </c>
      <c r="N109" s="13" t="s">
        <v>458</v>
      </c>
      <c r="O109" s="13" t="s">
        <v>550</v>
      </c>
      <c r="P109" s="13" t="s">
        <v>355</v>
      </c>
      <c r="Q109" s="14">
        <v>3226344</v>
      </c>
      <c r="R109" s="15" t="s">
        <v>551</v>
      </c>
      <c r="S109" s="15" t="s">
        <v>510</v>
      </c>
      <c r="T109" s="16" t="s">
        <v>511</v>
      </c>
      <c r="U109" s="9"/>
      <c r="V109" s="9"/>
      <c r="W109" s="9"/>
      <c r="X109" s="9"/>
      <c r="Y109" s="9"/>
      <c r="Z109" s="9"/>
      <c r="AA109" s="9"/>
    </row>
    <row r="110" spans="1:27" ht="15.75" hidden="1">
      <c r="A110" s="9"/>
      <c r="B110" s="9"/>
      <c r="C110" s="9"/>
      <c r="D110" s="9"/>
      <c r="E110" s="9"/>
      <c r="F110" s="9"/>
      <c r="G110" s="9"/>
      <c r="H110" s="9"/>
      <c r="I110" s="9"/>
      <c r="J110" s="11">
        <v>16</v>
      </c>
      <c r="K110" s="11" t="str">
        <f t="shared" si="2"/>
        <v>2959 INSTITUT ZA MEDICINSKA ISTRAŽIVANJA I MEDICINU RADA</v>
      </c>
      <c r="L110" s="12">
        <v>2959</v>
      </c>
      <c r="M110" s="13" t="s">
        <v>552</v>
      </c>
      <c r="N110" s="13" t="s">
        <v>458</v>
      </c>
      <c r="O110" s="13" t="s">
        <v>553</v>
      </c>
      <c r="P110" s="13" t="s">
        <v>355</v>
      </c>
      <c r="Q110" s="14">
        <v>3270475</v>
      </c>
      <c r="R110" s="15" t="s">
        <v>554</v>
      </c>
      <c r="S110" s="15" t="s">
        <v>510</v>
      </c>
      <c r="T110" s="16" t="s">
        <v>511</v>
      </c>
      <c r="U110" s="9"/>
      <c r="V110" s="9"/>
      <c r="W110" s="9"/>
      <c r="X110" s="9"/>
      <c r="Y110" s="9"/>
      <c r="Z110" s="9"/>
      <c r="AA110" s="9"/>
    </row>
    <row r="111" spans="1:27" ht="15.75" hidden="1">
      <c r="A111" s="9"/>
      <c r="B111" s="9"/>
      <c r="C111" s="9"/>
      <c r="D111" s="9"/>
      <c r="E111" s="9"/>
      <c r="F111" s="9"/>
      <c r="G111" s="9"/>
      <c r="H111" s="9"/>
      <c r="I111" s="9"/>
      <c r="J111" s="11">
        <v>17</v>
      </c>
      <c r="K111" s="11" t="str">
        <f t="shared" si="2"/>
        <v>22621 INSTITUT ZA RAZVOJ I MEĐUNARODNE ODNOSE</v>
      </c>
      <c r="L111" s="12">
        <v>22621</v>
      </c>
      <c r="M111" s="13" t="s">
        <v>555</v>
      </c>
      <c r="N111" s="13" t="s">
        <v>458</v>
      </c>
      <c r="O111" s="13" t="s">
        <v>556</v>
      </c>
      <c r="P111" s="13" t="s">
        <v>355</v>
      </c>
      <c r="Q111" s="14">
        <v>3205177</v>
      </c>
      <c r="R111" s="15" t="s">
        <v>557</v>
      </c>
      <c r="S111" s="15" t="s">
        <v>510</v>
      </c>
      <c r="T111" s="16" t="s">
        <v>511</v>
      </c>
      <c r="U111" s="9"/>
      <c r="V111" s="9"/>
      <c r="W111" s="9"/>
      <c r="X111" s="9"/>
      <c r="Y111" s="9"/>
      <c r="Z111" s="9"/>
      <c r="AA111" s="9"/>
    </row>
    <row r="112" spans="1:27" ht="15.75" hidden="1">
      <c r="A112" s="9"/>
      <c r="B112" s="9"/>
      <c r="C112" s="9"/>
      <c r="D112" s="9"/>
      <c r="E112" s="9"/>
      <c r="F112" s="9"/>
      <c r="G112" s="9"/>
      <c r="H112" s="9"/>
      <c r="I112" s="9"/>
      <c r="J112" s="11">
        <v>18</v>
      </c>
      <c r="K112" s="11" t="str">
        <f t="shared" si="2"/>
        <v>3009 INSTITUT ZA MIGRACIJE I NARODNOSTI</v>
      </c>
      <c r="L112" s="12">
        <v>3009</v>
      </c>
      <c r="M112" s="13" t="s">
        <v>558</v>
      </c>
      <c r="N112" s="13" t="s">
        <v>458</v>
      </c>
      <c r="O112" s="13" t="s">
        <v>559</v>
      </c>
      <c r="P112" s="13" t="s">
        <v>355</v>
      </c>
      <c r="Q112" s="14">
        <v>3287572</v>
      </c>
      <c r="R112" s="15" t="s">
        <v>560</v>
      </c>
      <c r="S112" s="15" t="s">
        <v>510</v>
      </c>
      <c r="T112" s="16" t="s">
        <v>511</v>
      </c>
      <c r="U112" s="9"/>
      <c r="V112" s="9"/>
      <c r="W112" s="9"/>
      <c r="X112" s="9"/>
      <c r="Y112" s="9"/>
      <c r="Z112" s="9"/>
      <c r="AA112" s="9"/>
    </row>
    <row r="113" spans="1:27" ht="15.75" hidden="1">
      <c r="A113" s="9"/>
      <c r="B113" s="9"/>
      <c r="C113" s="9"/>
      <c r="D113" s="9"/>
      <c r="E113" s="9"/>
      <c r="F113" s="9"/>
      <c r="G113" s="9"/>
      <c r="H113" s="9"/>
      <c r="I113" s="9"/>
      <c r="J113" s="11">
        <v>19</v>
      </c>
      <c r="K113" s="11" t="str">
        <f t="shared" si="2"/>
        <v>2900 INSTITUT ZA OCEANOGRAFIJU I RIBARSTVO</v>
      </c>
      <c r="L113" s="12">
        <v>2900</v>
      </c>
      <c r="M113" s="13" t="s">
        <v>561</v>
      </c>
      <c r="N113" s="13" t="s">
        <v>458</v>
      </c>
      <c r="O113" s="13" t="s">
        <v>562</v>
      </c>
      <c r="P113" s="13" t="s">
        <v>313</v>
      </c>
      <c r="Q113" s="14">
        <v>3118355</v>
      </c>
      <c r="R113" s="15" t="s">
        <v>563</v>
      </c>
      <c r="S113" s="15" t="s">
        <v>510</v>
      </c>
      <c r="T113" s="16" t="s">
        <v>511</v>
      </c>
      <c r="U113" s="9"/>
      <c r="V113" s="9"/>
      <c r="W113" s="9"/>
      <c r="X113" s="9"/>
      <c r="Y113" s="9"/>
      <c r="Z113" s="9"/>
      <c r="AA113" s="9"/>
    </row>
    <row r="114" spans="1:27" ht="15.75" hidden="1">
      <c r="A114" s="9"/>
      <c r="B114" s="9"/>
      <c r="C114" s="9"/>
      <c r="D114" s="9"/>
      <c r="E114" s="9"/>
      <c r="F114" s="9"/>
      <c r="G114" s="9"/>
      <c r="H114" s="9"/>
      <c r="I114" s="9"/>
      <c r="J114" s="11">
        <v>20</v>
      </c>
      <c r="K114" s="11" t="str">
        <f t="shared" si="2"/>
        <v>3076 INSTITUT ZA POLJOPRIVREDU I TURIZAM</v>
      </c>
      <c r="L114" s="12">
        <v>3076</v>
      </c>
      <c r="M114" s="13" t="s">
        <v>564</v>
      </c>
      <c r="N114" s="13" t="s">
        <v>458</v>
      </c>
      <c r="O114" s="13" t="s">
        <v>565</v>
      </c>
      <c r="P114" s="13" t="s">
        <v>566</v>
      </c>
      <c r="Q114" s="14">
        <v>3421031</v>
      </c>
      <c r="R114" s="15" t="s">
        <v>567</v>
      </c>
      <c r="S114" s="15" t="s">
        <v>510</v>
      </c>
      <c r="T114" s="16" t="s">
        <v>511</v>
      </c>
      <c r="U114" s="9"/>
      <c r="V114" s="9"/>
      <c r="W114" s="9"/>
      <c r="X114" s="9"/>
      <c r="Y114" s="9"/>
      <c r="Z114" s="9"/>
      <c r="AA114" s="9"/>
    </row>
    <row r="115" spans="1:27" ht="15.75" hidden="1">
      <c r="A115" s="9"/>
      <c r="B115" s="9"/>
      <c r="C115" s="9"/>
      <c r="D115" s="9"/>
      <c r="E115" s="9"/>
      <c r="F115" s="9"/>
      <c r="G115" s="9"/>
      <c r="H115" s="9"/>
      <c r="I115" s="9"/>
      <c r="J115" s="11">
        <v>21</v>
      </c>
      <c r="K115" s="11" t="str">
        <f t="shared" si="2"/>
        <v>2942 INSTITUT ZA POVIJEST UMJETNOSTI</v>
      </c>
      <c r="L115" s="12">
        <v>2942</v>
      </c>
      <c r="M115" s="13" t="s">
        <v>568</v>
      </c>
      <c r="N115" s="13" t="s">
        <v>458</v>
      </c>
      <c r="O115" s="13" t="s">
        <v>569</v>
      </c>
      <c r="P115" s="13" t="s">
        <v>355</v>
      </c>
      <c r="Q115" s="14">
        <v>1339958</v>
      </c>
      <c r="R115" s="15" t="s">
        <v>570</v>
      </c>
      <c r="S115" s="15" t="s">
        <v>510</v>
      </c>
      <c r="T115" s="16" t="s">
        <v>511</v>
      </c>
      <c r="U115" s="9"/>
      <c r="V115" s="9"/>
      <c r="W115" s="9"/>
      <c r="X115" s="9"/>
      <c r="Y115" s="9"/>
      <c r="Z115" s="9"/>
      <c r="AA115" s="9"/>
    </row>
    <row r="116" spans="1:27" ht="15.75" hidden="1">
      <c r="A116" s="9"/>
      <c r="B116" s="9"/>
      <c r="C116" s="9"/>
      <c r="D116" s="9"/>
      <c r="E116" s="9"/>
      <c r="F116" s="9"/>
      <c r="G116" s="9"/>
      <c r="H116" s="9"/>
      <c r="I116" s="9"/>
      <c r="J116" s="11">
        <v>22</v>
      </c>
      <c r="K116" s="11" t="str">
        <f t="shared" si="2"/>
        <v>3068 INSTITUT ZA TURIZAM</v>
      </c>
      <c r="L116" s="12">
        <v>3068</v>
      </c>
      <c r="M116" s="13" t="s">
        <v>571</v>
      </c>
      <c r="N116" s="13" t="s">
        <v>458</v>
      </c>
      <c r="O116" s="13" t="s">
        <v>572</v>
      </c>
      <c r="P116" s="13" t="s">
        <v>355</v>
      </c>
      <c r="Q116" s="14">
        <v>3208001</v>
      </c>
      <c r="R116" s="15" t="s">
        <v>573</v>
      </c>
      <c r="S116" s="15" t="s">
        <v>510</v>
      </c>
      <c r="T116" s="16" t="s">
        <v>511</v>
      </c>
      <c r="U116" s="9"/>
      <c r="V116" s="9"/>
      <c r="W116" s="9"/>
      <c r="X116" s="9"/>
      <c r="Y116" s="9"/>
      <c r="Z116" s="9"/>
      <c r="AA116" s="9"/>
    </row>
    <row r="117" spans="1:27" ht="15.75" hidden="1">
      <c r="A117" s="9"/>
      <c r="B117" s="9"/>
      <c r="C117" s="9"/>
      <c r="D117" s="9"/>
      <c r="E117" s="9"/>
      <c r="F117" s="9"/>
      <c r="G117" s="9"/>
      <c r="H117" s="9"/>
      <c r="I117" s="9"/>
      <c r="J117" s="11">
        <v>23</v>
      </c>
      <c r="K117" s="11" t="str">
        <f t="shared" si="2"/>
        <v>21070 STAROSLAVENSKI INSTITUT</v>
      </c>
      <c r="L117" s="12">
        <v>21070</v>
      </c>
      <c r="M117" s="13" t="s">
        <v>574</v>
      </c>
      <c r="N117" s="13" t="s">
        <v>458</v>
      </c>
      <c r="O117" s="13" t="s">
        <v>575</v>
      </c>
      <c r="P117" s="13" t="s">
        <v>355</v>
      </c>
      <c r="Q117" s="14">
        <v>1259563</v>
      </c>
      <c r="R117" s="15" t="s">
        <v>576</v>
      </c>
      <c r="S117" s="15" t="s">
        <v>510</v>
      </c>
      <c r="T117" s="16" t="s">
        <v>511</v>
      </c>
      <c r="U117" s="9"/>
      <c r="V117" s="9"/>
      <c r="W117" s="9"/>
      <c r="X117" s="9"/>
      <c r="Y117" s="9"/>
      <c r="Z117" s="9"/>
      <c r="AA117" s="9"/>
    </row>
    <row r="118" spans="1:27" ht="15.75" hidden="1">
      <c r="A118" s="9"/>
      <c r="B118" s="9"/>
      <c r="C118" s="9"/>
      <c r="D118" s="9"/>
      <c r="E118" s="9"/>
      <c r="F118" s="9"/>
      <c r="G118" s="9"/>
      <c r="H118" s="9"/>
      <c r="I118" s="9"/>
      <c r="J118" s="11">
        <v>24</v>
      </c>
      <c r="K118" s="11" t="str">
        <f t="shared" si="2"/>
        <v>2967 HRVATSKI ŠUMARSKI INSTITUT</v>
      </c>
      <c r="L118" s="12">
        <v>2967</v>
      </c>
      <c r="M118" s="13" t="s">
        <v>577</v>
      </c>
      <c r="N118" s="13" t="s">
        <v>458</v>
      </c>
      <c r="O118" s="13" t="s">
        <v>578</v>
      </c>
      <c r="P118" s="13" t="s">
        <v>579</v>
      </c>
      <c r="Q118" s="14">
        <v>3115879</v>
      </c>
      <c r="R118" s="15" t="s">
        <v>580</v>
      </c>
      <c r="S118" s="15" t="s">
        <v>510</v>
      </c>
      <c r="T118" s="16" t="s">
        <v>511</v>
      </c>
      <c r="U118" s="9"/>
      <c r="V118" s="9"/>
      <c r="W118" s="9"/>
      <c r="X118" s="9"/>
      <c r="Y118" s="9"/>
      <c r="Z118" s="9"/>
      <c r="AA118" s="9"/>
    </row>
    <row r="119" spans="1:27" ht="15.75" hidden="1">
      <c r="A119" s="9"/>
      <c r="B119" s="9"/>
      <c r="C119" s="9"/>
      <c r="D119" s="9"/>
      <c r="E119" s="9"/>
      <c r="F119" s="9"/>
      <c r="G119" s="9"/>
      <c r="H119" s="9"/>
      <c r="I119" s="9"/>
      <c r="J119" s="11">
        <v>25</v>
      </c>
      <c r="K119" s="11" t="str">
        <f t="shared" si="2"/>
        <v>2991 Poljoprivredni institut, Osijek</v>
      </c>
      <c r="L119" s="12">
        <v>2991</v>
      </c>
      <c r="M119" s="13" t="s">
        <v>581</v>
      </c>
      <c r="N119" s="13" t="s">
        <v>458</v>
      </c>
      <c r="O119" s="13" t="s">
        <v>559</v>
      </c>
      <c r="P119" s="13" t="s">
        <v>355</v>
      </c>
      <c r="Q119" s="14">
        <v>3287572</v>
      </c>
      <c r="R119" s="15" t="s">
        <v>560</v>
      </c>
      <c r="S119" s="15" t="s">
        <v>510</v>
      </c>
      <c r="T119" s="16" t="s">
        <v>511</v>
      </c>
      <c r="U119" s="9"/>
      <c r="V119" s="9"/>
      <c r="W119" s="9"/>
      <c r="X119" s="9"/>
      <c r="Y119" s="9"/>
      <c r="Z119" s="9"/>
      <c r="AA119" s="9"/>
    </row>
    <row r="120" spans="1:27" ht="15.75" hidden="1">
      <c r="A120" s="9"/>
      <c r="B120" s="9"/>
      <c r="C120" s="9"/>
      <c r="D120" s="9"/>
      <c r="E120" s="9"/>
      <c r="F120" s="9"/>
      <c r="G120" s="9"/>
      <c r="H120" s="9"/>
      <c r="I120" s="9"/>
      <c r="J120" s="37">
        <v>1</v>
      </c>
      <c r="K120" s="37" t="str">
        <f t="shared" si="2"/>
        <v>6179 DRŽAVNI ZAVOD ZA INTELEKTUALNO VLASNIŠTVO</v>
      </c>
      <c r="L120" s="38">
        <v>6179</v>
      </c>
      <c r="M120" s="39" t="s">
        <v>582</v>
      </c>
      <c r="N120" s="39" t="s">
        <v>458</v>
      </c>
      <c r="O120" s="39" t="s">
        <v>583</v>
      </c>
      <c r="P120" s="39" t="s">
        <v>355</v>
      </c>
      <c r="Q120" s="40">
        <v>3899772</v>
      </c>
      <c r="R120" s="41" t="s">
        <v>584</v>
      </c>
      <c r="S120" s="41" t="s">
        <v>585</v>
      </c>
      <c r="T120" s="42" t="s">
        <v>206</v>
      </c>
      <c r="U120" s="9"/>
      <c r="V120" s="9"/>
      <c r="W120" s="9"/>
      <c r="X120" s="9"/>
      <c r="Y120" s="9"/>
      <c r="Z120" s="9"/>
      <c r="AA120" s="9"/>
    </row>
    <row r="121" spans="1:27" ht="15.75" hidden="1">
      <c r="A121" s="9"/>
      <c r="B121" s="9"/>
      <c r="C121" s="9"/>
      <c r="D121" s="9"/>
      <c r="E121" s="9"/>
      <c r="F121" s="9"/>
      <c r="G121" s="9"/>
      <c r="H121" s="9"/>
      <c r="I121" s="9"/>
      <c r="J121" s="37">
        <v>2</v>
      </c>
      <c r="K121" s="37" t="str">
        <f t="shared" si="2"/>
        <v>21836 NACIONALNA I SVEUČILIŠNA KNJIŽNICA U ZAGREBU</v>
      </c>
      <c r="L121" s="38">
        <v>21836</v>
      </c>
      <c r="M121" s="39" t="s">
        <v>586</v>
      </c>
      <c r="N121" s="39" t="s">
        <v>458</v>
      </c>
      <c r="O121" s="43" t="s">
        <v>587</v>
      </c>
      <c r="P121" s="39" t="s">
        <v>355</v>
      </c>
      <c r="Q121" s="40">
        <v>3205363</v>
      </c>
      <c r="R121" s="41" t="s">
        <v>588</v>
      </c>
      <c r="S121" s="41" t="s">
        <v>585</v>
      </c>
      <c r="T121" s="44" t="s">
        <v>206</v>
      </c>
      <c r="U121" s="9"/>
      <c r="V121" s="9"/>
      <c r="W121" s="9"/>
      <c r="X121" s="9"/>
      <c r="Y121" s="9"/>
      <c r="Z121" s="9"/>
      <c r="AA121" s="9"/>
    </row>
    <row r="122" spans="1:27" ht="15.75" hidden="1">
      <c r="A122" s="9"/>
      <c r="B122" s="9"/>
      <c r="C122" s="9"/>
      <c r="D122" s="9"/>
      <c r="E122" s="9"/>
      <c r="F122" s="9"/>
      <c r="G122" s="9"/>
      <c r="H122" s="9"/>
      <c r="I122" s="9"/>
      <c r="J122" s="37">
        <v>3</v>
      </c>
      <c r="K122" s="37" t="str">
        <f t="shared" si="2"/>
        <v>21852 HRVATSKA AKADEMSKA I ISTRAŽIVAČKA MREŽA - CARNET</v>
      </c>
      <c r="L122" s="38">
        <v>21852</v>
      </c>
      <c r="M122" s="39" t="s">
        <v>589</v>
      </c>
      <c r="N122" s="39" t="s">
        <v>458</v>
      </c>
      <c r="O122" s="43" t="s">
        <v>590</v>
      </c>
      <c r="P122" s="39" t="s">
        <v>355</v>
      </c>
      <c r="Q122" s="40">
        <v>1147820</v>
      </c>
      <c r="R122" s="41" t="s">
        <v>591</v>
      </c>
      <c r="S122" s="41" t="s">
        <v>585</v>
      </c>
      <c r="T122" s="44" t="s">
        <v>206</v>
      </c>
      <c r="U122" s="9"/>
      <c r="V122" s="9"/>
      <c r="W122" s="9"/>
      <c r="X122" s="9"/>
      <c r="Y122" s="9"/>
      <c r="Z122" s="9"/>
      <c r="AA122" s="9"/>
    </row>
    <row r="123" spans="1:27" ht="15.75" hidden="1">
      <c r="A123" s="9"/>
      <c r="B123" s="9"/>
      <c r="C123" s="9"/>
      <c r="D123" s="9"/>
      <c r="E123" s="9"/>
      <c r="F123" s="9"/>
      <c r="G123" s="9"/>
      <c r="H123" s="9"/>
      <c r="I123" s="9"/>
      <c r="J123" s="37">
        <v>4</v>
      </c>
      <c r="K123" s="37" t="str">
        <f t="shared" si="2"/>
        <v>21869 LEKSIKOGRAFSKI ZAVOD MIROSLAV KRLEŽA</v>
      </c>
      <c r="L123" s="38">
        <v>21869</v>
      </c>
      <c r="M123" s="39" t="s">
        <v>592</v>
      </c>
      <c r="N123" s="39" t="s">
        <v>458</v>
      </c>
      <c r="O123" s="43" t="s">
        <v>593</v>
      </c>
      <c r="P123" s="39" t="s">
        <v>355</v>
      </c>
      <c r="Q123" s="40">
        <v>3211622</v>
      </c>
      <c r="R123" s="41" t="s">
        <v>594</v>
      </c>
      <c r="S123" s="41" t="s">
        <v>585</v>
      </c>
      <c r="T123" s="44" t="s">
        <v>206</v>
      </c>
      <c r="U123" s="9"/>
      <c r="V123" s="9"/>
      <c r="W123" s="9"/>
      <c r="X123" s="9"/>
      <c r="Y123" s="9"/>
      <c r="Z123" s="9"/>
      <c r="AA123" s="9"/>
    </row>
    <row r="124" spans="1:27" ht="15.75" hidden="1">
      <c r="A124" s="9"/>
      <c r="B124" s="9"/>
      <c r="C124" s="9"/>
      <c r="D124" s="9"/>
      <c r="E124" s="9"/>
      <c r="F124" s="9"/>
      <c r="G124" s="9"/>
      <c r="H124" s="9"/>
      <c r="I124" s="9"/>
      <c r="J124" s="37">
        <v>5</v>
      </c>
      <c r="K124" s="37" t="str">
        <f t="shared" si="2"/>
        <v>23665 SVEUČILIŠTE U ZAGREBU - SVEUČILIŠNI RAČUNSKI CENTAR - SRCE</v>
      </c>
      <c r="L124" s="38">
        <v>23665</v>
      </c>
      <c r="M124" s="39" t="s">
        <v>595</v>
      </c>
      <c r="N124" s="39" t="s">
        <v>458</v>
      </c>
      <c r="O124" s="43" t="s">
        <v>590</v>
      </c>
      <c r="P124" s="39" t="s">
        <v>355</v>
      </c>
      <c r="Q124" s="40">
        <v>3283020</v>
      </c>
      <c r="R124" s="41" t="s">
        <v>596</v>
      </c>
      <c r="S124" s="41" t="s">
        <v>585</v>
      </c>
      <c r="T124" s="44" t="s">
        <v>206</v>
      </c>
      <c r="U124" s="9"/>
      <c r="V124" s="9"/>
      <c r="W124" s="9"/>
      <c r="X124" s="9"/>
      <c r="Y124" s="9"/>
      <c r="Z124" s="9"/>
      <c r="AA124" s="9"/>
    </row>
    <row r="125" spans="1:27" ht="15.75" hidden="1">
      <c r="A125" s="9"/>
      <c r="B125" s="9"/>
      <c r="C125" s="9"/>
      <c r="D125" s="9"/>
      <c r="E125" s="9"/>
      <c r="F125" s="9"/>
      <c r="G125" s="9"/>
      <c r="H125" s="9"/>
      <c r="I125" s="9"/>
      <c r="J125" s="37">
        <v>6</v>
      </c>
      <c r="K125" s="37" t="str">
        <f t="shared" si="2"/>
        <v>23962 AGENCIJA ZA ODGOJ I OBRAZOVANJE</v>
      </c>
      <c r="L125" s="38">
        <v>23962</v>
      </c>
      <c r="M125" s="39" t="s">
        <v>597</v>
      </c>
      <c r="N125" s="39" t="s">
        <v>458</v>
      </c>
      <c r="O125" s="39" t="s">
        <v>598</v>
      </c>
      <c r="P125" s="39" t="s">
        <v>355</v>
      </c>
      <c r="Q125" s="40">
        <v>1778129</v>
      </c>
      <c r="R125" s="41" t="s">
        <v>599</v>
      </c>
      <c r="S125" s="41" t="s">
        <v>585</v>
      </c>
      <c r="T125" s="44" t="s">
        <v>206</v>
      </c>
      <c r="U125" s="9"/>
      <c r="V125" s="9"/>
      <c r="W125" s="9"/>
      <c r="X125" s="9"/>
      <c r="Y125" s="9"/>
      <c r="Z125" s="9"/>
      <c r="AA125" s="9"/>
    </row>
    <row r="126" spans="1:27" ht="15.75" hidden="1">
      <c r="A126" s="9"/>
      <c r="B126" s="9"/>
      <c r="C126" s="9"/>
      <c r="D126" s="9"/>
      <c r="E126" s="9"/>
      <c r="F126" s="9"/>
      <c r="G126" s="9"/>
      <c r="H126" s="9"/>
      <c r="I126" s="9"/>
      <c r="J126" s="37">
        <v>7</v>
      </c>
      <c r="K126" s="37" t="str">
        <f t="shared" si="2"/>
        <v>38487 AGENCIJA ZA ZNANOST I VISOKO OBRAZOVANJE</v>
      </c>
      <c r="L126" s="38">
        <v>38487</v>
      </c>
      <c r="M126" s="39" t="s">
        <v>600</v>
      </c>
      <c r="N126" s="39" t="s">
        <v>458</v>
      </c>
      <c r="O126" s="43" t="s">
        <v>601</v>
      </c>
      <c r="P126" s="39" t="s">
        <v>355</v>
      </c>
      <c r="Q126" s="40">
        <v>1922548</v>
      </c>
      <c r="R126" s="41" t="s">
        <v>602</v>
      </c>
      <c r="S126" s="41" t="s">
        <v>585</v>
      </c>
      <c r="T126" s="44" t="s">
        <v>206</v>
      </c>
      <c r="U126" s="9"/>
      <c r="V126" s="9"/>
      <c r="W126" s="9"/>
      <c r="X126" s="9"/>
      <c r="Y126" s="9"/>
      <c r="Z126" s="9"/>
      <c r="AA126" s="9"/>
    </row>
    <row r="127" spans="1:27" ht="15.75" hidden="1">
      <c r="A127" s="9"/>
      <c r="B127" s="9"/>
      <c r="C127" s="9"/>
      <c r="D127" s="9"/>
      <c r="E127" s="9"/>
      <c r="F127" s="9"/>
      <c r="G127" s="9"/>
      <c r="H127" s="9"/>
      <c r="I127" s="9"/>
      <c r="J127" s="37">
        <v>8</v>
      </c>
      <c r="K127" s="37" t="str">
        <f t="shared" si="2"/>
        <v>40883 NACIONALNI CENTAR ZA VANJSKO VREDNOVANJE OBRAZOVANJA</v>
      </c>
      <c r="L127" s="38">
        <v>40883</v>
      </c>
      <c r="M127" s="39" t="s">
        <v>603</v>
      </c>
      <c r="N127" s="39" t="s">
        <v>458</v>
      </c>
      <c r="O127" s="43" t="s">
        <v>604</v>
      </c>
      <c r="P127" s="39" t="s">
        <v>355</v>
      </c>
      <c r="Q127" s="40">
        <v>1943430</v>
      </c>
      <c r="R127" s="41" t="s">
        <v>605</v>
      </c>
      <c r="S127" s="41" t="s">
        <v>585</v>
      </c>
      <c r="T127" s="44" t="s">
        <v>206</v>
      </c>
      <c r="U127" s="9"/>
      <c r="V127" s="9"/>
      <c r="W127" s="9"/>
      <c r="X127" s="9"/>
      <c r="Y127" s="9"/>
      <c r="Z127" s="9"/>
      <c r="AA127" s="9"/>
    </row>
    <row r="128" spans="1:27" ht="15.75" hidden="1">
      <c r="A128" s="9"/>
      <c r="B128" s="9"/>
      <c r="C128" s="9"/>
      <c r="D128" s="9"/>
      <c r="E128" s="9"/>
      <c r="F128" s="9"/>
      <c r="G128" s="9"/>
      <c r="H128" s="9"/>
      <c r="I128" s="9"/>
      <c r="J128" s="37">
        <v>9</v>
      </c>
      <c r="K128" s="37" t="str">
        <f t="shared" si="2"/>
        <v>43335 AGENCIJA ZA MOBILNOST I PROGRAME EUROPSKE UNIJE</v>
      </c>
      <c r="L128" s="38">
        <v>43335</v>
      </c>
      <c r="M128" s="39" t="s">
        <v>606</v>
      </c>
      <c r="N128" s="39" t="s">
        <v>458</v>
      </c>
      <c r="O128" s="43" t="s">
        <v>593</v>
      </c>
      <c r="P128" s="39" t="s">
        <v>355</v>
      </c>
      <c r="Q128" s="40">
        <v>2298007</v>
      </c>
      <c r="R128" s="41" t="s">
        <v>607</v>
      </c>
      <c r="S128" s="41" t="s">
        <v>585</v>
      </c>
      <c r="T128" s="44" t="s">
        <v>206</v>
      </c>
      <c r="U128" s="9"/>
      <c r="V128" s="9"/>
      <c r="W128" s="9"/>
      <c r="X128" s="9"/>
      <c r="Y128" s="9"/>
      <c r="Z128" s="9"/>
      <c r="AA128" s="9"/>
    </row>
    <row r="129" spans="1:27" ht="15.75" hidden="1">
      <c r="A129" s="9"/>
      <c r="B129" s="9"/>
      <c r="C129" s="9"/>
      <c r="D129" s="9"/>
      <c r="E129" s="9"/>
      <c r="F129" s="9"/>
      <c r="G129" s="9"/>
      <c r="H129" s="9"/>
      <c r="I129" s="9"/>
      <c r="J129" s="37">
        <v>10</v>
      </c>
      <c r="K129" s="37" t="str">
        <f t="shared" si="2"/>
        <v>46173 AGENCIJA ZA STRUKOVNO OBRAZOVANJE I OBRAZOVANJE ODRASLIH</v>
      </c>
      <c r="L129" s="38">
        <v>46173</v>
      </c>
      <c r="M129" s="39" t="s">
        <v>608</v>
      </c>
      <c r="N129" s="39" t="s">
        <v>458</v>
      </c>
      <c r="O129" s="43" t="s">
        <v>609</v>
      </c>
      <c r="P129" s="39" t="s">
        <v>355</v>
      </c>
      <c r="Q129" s="40">
        <v>2650029</v>
      </c>
      <c r="R129" s="41" t="s">
        <v>610</v>
      </c>
      <c r="S129" s="41" t="s">
        <v>585</v>
      </c>
      <c r="T129" s="44" t="s">
        <v>206</v>
      </c>
      <c r="U129" s="9"/>
      <c r="V129" s="9"/>
      <c r="W129" s="9"/>
      <c r="X129" s="9"/>
      <c r="Y129" s="9"/>
      <c r="Z129" s="9"/>
      <c r="AA129" s="9"/>
    </row>
    <row r="130" spans="1:27" hidden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spans="1:27" hidden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1:27" hidden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hidden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7" hidden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spans="1:27" hidden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7" hidden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hidden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hidden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hidden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spans="1:27" hidden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1:27" hidden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1:27" hidden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1:27" hidden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7" hidden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hidden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hidden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hidden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hidden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hidden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hidden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hidden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hidden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spans="1:27" hidden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hidden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hidden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hidden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hidden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hidden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hidden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hidden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hidden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hidden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hidden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1:27" hidden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hidden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hidden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hidden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hidden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hidden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1:27" hidden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hidden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1:27" hidden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spans="1:27" hidden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spans="1:27" hidden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spans="1:27" hidden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spans="1:27" hidden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hidden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hidden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1:27" hidden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spans="1:27" hidden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1:27" hidden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1:27" hidden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hidden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spans="1:27" hidden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spans="1:27" hidden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spans="1:27" hidden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1:27" hidden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1:27" hidden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spans="1:27" hidden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hidden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1:27" hidden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hidden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1:27" hidden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spans="1:27" hidden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hidden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hidden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hidden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1:27" hidden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hidden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spans="1:27" hidden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spans="1:27" hidden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spans="1:27" hidden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spans="1:27" hidden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spans="1:27" hidden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spans="1:27" hidden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1:27" hidden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1:27" hidden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spans="1:27" hidden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spans="1:27" hidden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spans="1:27" hidden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spans="1:27" hidden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spans="1:27" hidden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spans="1:27" hidden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spans="1:27" hidden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spans="1:27" hidden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 spans="1:27" hidden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 spans="1:27" hidden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 spans="1:27" hidden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 spans="1:27" hidden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 spans="1:27" hidden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 spans="1:27" hidden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 spans="1:27" hidden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 spans="1:27" hidden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 spans="1:27" hidden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 spans="1:27" hidden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 spans="1:27" hidden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 spans="1:27" hidden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 spans="1:27" hidden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 spans="1:27" hidden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 spans="1:27" hidden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 spans="1:27" hidden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 spans="1:27" hidden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 spans="1:27" hidden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 spans="1:27" hidden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 spans="1:27" hidden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 spans="1:27" hidden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 spans="1:27" hidden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 spans="1:27" hidden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 spans="1:27" hidden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 spans="1:27" hidden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 spans="1:27" hidden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 spans="1:27" hidden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 spans="1:27" hidden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 spans="1:27" hidden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 spans="1:27" hidden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 spans="1:27" hidden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 spans="1:27" hidden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 spans="1:27" hidden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 spans="1:27" hidden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 spans="1:27" hidden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  <row r="251" spans="1:27" hidden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 spans="1:27" hidden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 spans="1:27" hidden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 spans="1:27" hidden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 spans="1:27" hidden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</row>
    <row r="256" spans="1:27" hidden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</row>
    <row r="257" spans="1:27" hidden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</row>
    <row r="258" spans="1:27" hidden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</row>
    <row r="259" spans="1:27" hidden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</row>
    <row r="260" spans="1:27" hidden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</row>
    <row r="261" spans="1:27" hidden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</row>
    <row r="262" spans="1:27" hidden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</row>
    <row r="263" spans="1:27" hidden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</row>
    <row r="264" spans="1:27" hidden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</row>
    <row r="265" spans="1:27" hidden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</row>
    <row r="266" spans="1:27" hidden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</row>
    <row r="267" spans="1:27" hidden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</row>
    <row r="268" spans="1:27" hidden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</row>
    <row r="269" spans="1:27" hidden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</row>
    <row r="270" spans="1:27" hidden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</row>
    <row r="271" spans="1:27" hidden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</row>
    <row r="272" spans="1:27" hidden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</row>
    <row r="273" spans="1:27" hidden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</row>
    <row r="274" spans="1:27" hidden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</row>
    <row r="275" spans="1:27" hidden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</row>
    <row r="276" spans="1:27" hidden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</row>
    <row r="277" spans="1:27" hidden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</row>
    <row r="278" spans="1:27" hidden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</row>
    <row r="279" spans="1:27" hidden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</row>
    <row r="280" spans="1:27" hidden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</row>
    <row r="281" spans="1:27" hidden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</row>
    <row r="282" spans="1:27" hidden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</row>
    <row r="283" spans="1:27" hidden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</row>
    <row r="284" spans="1:27" hidden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</row>
    <row r="285" spans="1:27" hidden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</row>
    <row r="286" spans="1:27" hidden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</row>
    <row r="287" spans="1:27" hidden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</row>
    <row r="288" spans="1:27" hidden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</row>
    <row r="289" spans="1:27" hidden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</row>
    <row r="290" spans="1:27" hidden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</row>
    <row r="291" spans="1:27" hidden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</row>
    <row r="292" spans="1:27" hidden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</row>
    <row r="293" spans="1:27" hidden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</row>
    <row r="294" spans="1:27" hidden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</row>
    <row r="295" spans="1:27" hidden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</row>
    <row r="296" spans="1:27" hidden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</row>
    <row r="297" spans="1:27" hidden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</row>
    <row r="298" spans="1:27" hidden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</row>
    <row r="299" spans="1:27" hidden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</row>
    <row r="300" spans="1:27" hidden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</row>
    <row r="301" spans="1:27" hidden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</row>
    <row r="302" spans="1:27" hidden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</row>
    <row r="303" spans="1:27" hidden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</row>
    <row r="304" spans="1:27" hidden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</row>
    <row r="305" spans="1:27" hidden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</row>
    <row r="306" spans="1:27" hidden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</row>
    <row r="307" spans="1:27" hidden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</row>
    <row r="308" spans="1:27" hidden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</row>
    <row r="309" spans="1:27" hidden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</row>
    <row r="310" spans="1:27" hidden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</row>
    <row r="311" spans="1:27" hidden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</row>
    <row r="312" spans="1:27" hidden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</row>
    <row r="313" spans="1:27" hidden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</row>
    <row r="314" spans="1:27" hidden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</row>
    <row r="315" spans="1:27" hidden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</row>
    <row r="316" spans="1:27" hidden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</row>
    <row r="317" spans="1:27" hidden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</row>
    <row r="318" spans="1:27" hidden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</row>
    <row r="319" spans="1:27" hidden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</row>
    <row r="320" spans="1:27" hidden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</row>
    <row r="321" spans="1:27" hidden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</row>
    <row r="322" spans="1:27" hidden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</row>
    <row r="323" spans="1:27" hidden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</row>
    <row r="324" spans="1:27" hidden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</row>
    <row r="325" spans="1:27" hidden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</row>
    <row r="326" spans="1:27" hidden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</row>
    <row r="327" spans="1:27" hidden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</row>
    <row r="328" spans="1:27" hidden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</row>
    <row r="329" spans="1:27" hidden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</row>
    <row r="330" spans="1:27" hidden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</row>
    <row r="331" spans="1:27" hidden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</row>
    <row r="332" spans="1:27" hidden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</row>
    <row r="333" spans="1:27" hidden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</row>
    <row r="334" spans="1:27" hidden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</row>
    <row r="335" spans="1:27" hidden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</row>
    <row r="336" spans="1:27" hidden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</row>
    <row r="337" spans="1:27" hidden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</row>
    <row r="338" spans="1:27" hidden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</row>
    <row r="339" spans="1:27" hidden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</row>
    <row r="340" spans="1:27" hidden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</row>
    <row r="341" spans="1:27" hidden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</row>
    <row r="342" spans="1:27" hidden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</row>
    <row r="343" spans="1:27" hidden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</row>
    <row r="344" spans="1:27" hidden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</row>
    <row r="345" spans="1:27" hidden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</row>
    <row r="346" spans="1:27" hidden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</row>
    <row r="347" spans="1:27" hidden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</row>
    <row r="348" spans="1:27" hidden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</row>
    <row r="349" spans="1:27" hidden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</row>
    <row r="350" spans="1:27" hidden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</row>
    <row r="351" spans="1:27" hidden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</row>
    <row r="352" spans="1:27" hidden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</row>
    <row r="353" spans="1:27" hidden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</row>
    <row r="354" spans="1:27" hidden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</row>
    <row r="355" spans="1:27" hidden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</row>
    <row r="356" spans="1:27" hidden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</row>
    <row r="357" spans="1:27" hidden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</row>
    <row r="358" spans="1:27" hidden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</row>
    <row r="359" spans="1:27" hidden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</row>
    <row r="360" spans="1:27" hidden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</row>
    <row r="361" spans="1:27" hidden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</row>
    <row r="362" spans="1:27" hidden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</row>
    <row r="363" spans="1:27" hidden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</row>
    <row r="364" spans="1:27" hidden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</row>
    <row r="365" spans="1:27" hidden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</row>
    <row r="366" spans="1:27" hidden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</row>
    <row r="367" spans="1:27" hidden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</row>
    <row r="368" spans="1:27" hidden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</row>
    <row r="369" spans="1:27" hidden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</row>
    <row r="370" spans="1:27" hidden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</row>
    <row r="371" spans="1:27" hidden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</row>
    <row r="372" spans="1:27" hidden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</row>
    <row r="373" spans="1:27" hidden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</row>
    <row r="374" spans="1:27" hidden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</row>
    <row r="375" spans="1:27" hidden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</row>
    <row r="376" spans="1:27" hidden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</row>
    <row r="377" spans="1:27" hidden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</row>
    <row r="378" spans="1:27" hidden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</row>
    <row r="379" spans="1:27" hidden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</row>
    <row r="380" spans="1:27" hidden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</row>
    <row r="381" spans="1:27" hidden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</row>
    <row r="382" spans="1:27" hidden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</row>
    <row r="383" spans="1:27" hidden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</row>
    <row r="384" spans="1:27" hidden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</row>
    <row r="385" spans="1:27" hidden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</row>
    <row r="386" spans="1:27" hidden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</row>
    <row r="387" spans="1:27" hidden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</row>
    <row r="388" spans="1:27" hidden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</row>
    <row r="389" spans="1:27" hidden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</row>
    <row r="390" spans="1:27" hidden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</row>
    <row r="391" spans="1:27" hidden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</row>
    <row r="392" spans="1:27" hidden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</row>
    <row r="393" spans="1:27" hidden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</row>
    <row r="394" spans="1:27" hidden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</row>
    <row r="395" spans="1:27" hidden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</row>
    <row r="396" spans="1:27" hidden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</row>
    <row r="397" spans="1:27" hidden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</row>
    <row r="398" spans="1:27" hidden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</row>
    <row r="399" spans="1:27" hidden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</row>
    <row r="400" spans="1:27" hidden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</row>
    <row r="401" spans="1:27" hidden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</row>
    <row r="402" spans="1:27" hidden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</row>
    <row r="403" spans="1:27" hidden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</row>
    <row r="404" spans="1:27" hidden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</row>
    <row r="405" spans="1:27" hidden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</row>
    <row r="406" spans="1:27" hidden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</row>
    <row r="407" spans="1:27" hidden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</row>
    <row r="408" spans="1:27" hidden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</row>
    <row r="409" spans="1:27" hidden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</row>
    <row r="410" spans="1:27" hidden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</row>
    <row r="411" spans="1:27" hidden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</row>
    <row r="412" spans="1:27" hidden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</row>
    <row r="413" spans="1:27" hidden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</row>
    <row r="414" spans="1:27" hidden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</row>
    <row r="415" spans="1:27" hidden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</row>
    <row r="416" spans="1:27" hidden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</row>
    <row r="417" spans="1:27" hidden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</row>
    <row r="418" spans="1:27" hidden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</row>
    <row r="419" spans="1:27" hidden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</row>
    <row r="420" spans="1:27" hidden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</row>
    <row r="421" spans="1:27" hidden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</row>
    <row r="422" spans="1:27" hidden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</row>
    <row r="423" spans="1:27" hidden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</row>
    <row r="424" spans="1:27" hidden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</row>
    <row r="425" spans="1:27" hidden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</row>
    <row r="426" spans="1:27" hidden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</row>
    <row r="427" spans="1:27" hidden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</row>
    <row r="428" spans="1:27" hidden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</row>
    <row r="429" spans="1:27" hidden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</row>
    <row r="430" spans="1:27" hidden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</row>
    <row r="431" spans="1:27" hidden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</row>
    <row r="432" spans="1:27" hidden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</row>
    <row r="433" spans="1:27" hidden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</row>
    <row r="434" spans="1:27" hidden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</row>
    <row r="435" spans="1:27" hidden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</row>
    <row r="436" spans="1:27" hidden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</row>
    <row r="437" spans="1:27" hidden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</row>
    <row r="438" spans="1:27" hidden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</row>
    <row r="439" spans="1:27" hidden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</row>
    <row r="440" spans="1:27" hidden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</row>
    <row r="441" spans="1:27" hidden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</row>
    <row r="442" spans="1:27" hidden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</row>
    <row r="443" spans="1:27" hidden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</row>
    <row r="444" spans="1:27" hidden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</row>
    <row r="445" spans="1:27" hidden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</row>
    <row r="446" spans="1:27" hidden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</row>
    <row r="447" spans="1:27" hidden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</row>
    <row r="448" spans="1:27" hidden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</row>
    <row r="449" spans="1:27" hidden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</row>
    <row r="450" spans="1:27" hidden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</row>
    <row r="451" spans="1:27" hidden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</row>
    <row r="452" spans="1:27" hidden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</row>
    <row r="453" spans="1:27" hidden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</row>
    <row r="454" spans="1:27" hidden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</row>
    <row r="455" spans="1:27" hidden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</row>
    <row r="456" spans="1:27" hidden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</row>
    <row r="457" spans="1:27" hidden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</row>
    <row r="458" spans="1:27" hidden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</row>
    <row r="459" spans="1:27" hidden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</row>
    <row r="460" spans="1:27" hidden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</row>
    <row r="461" spans="1:27" hidden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</row>
    <row r="462" spans="1:27" hidden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</row>
    <row r="463" spans="1:27" hidden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</row>
    <row r="464" spans="1:27" hidden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</row>
    <row r="465" spans="1:27" hidden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</row>
    <row r="466" spans="1:27" hidden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</row>
    <row r="467" spans="1:27" hidden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</row>
    <row r="468" spans="1:27" hidden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</row>
    <row r="469" spans="1:27" hidden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</row>
    <row r="470" spans="1:27" hidden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</row>
    <row r="471" spans="1:27" hidden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</row>
    <row r="472" spans="1:27" hidden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</row>
    <row r="473" spans="1:27" hidden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</row>
    <row r="474" spans="1:27" hidden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</row>
    <row r="475" spans="1:27" hidden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</row>
    <row r="476" spans="1:27" hidden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</row>
    <row r="477" spans="1:27" hidden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</row>
    <row r="478" spans="1:27" hidden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</row>
    <row r="479" spans="1:27" hidden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</row>
    <row r="480" spans="1:27" hidden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</row>
    <row r="481" spans="1:27" hidden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</row>
    <row r="482" spans="1:27" hidden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</row>
    <row r="483" spans="1:27" hidden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</row>
    <row r="484" spans="1:27" hidden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</row>
    <row r="485" spans="1:27" hidden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</row>
    <row r="486" spans="1:27" hidden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</row>
    <row r="487" spans="1:27" hidden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</row>
    <row r="488" spans="1:27" hidden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</row>
    <row r="489" spans="1:27" hidden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</row>
    <row r="490" spans="1:27" hidden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</row>
    <row r="491" spans="1:27" hidden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</row>
    <row r="492" spans="1:27" hidden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</row>
    <row r="493" spans="1:27" hidden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</row>
    <row r="494" spans="1:27" hidden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</row>
    <row r="495" spans="1:27" hidden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</row>
    <row r="496" spans="1:27" hidden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</row>
    <row r="497" spans="1:27" hidden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</row>
    <row r="498" spans="1:27" hidden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</row>
    <row r="499" spans="1:27" hidden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</row>
    <row r="500" spans="1:27" hidden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</row>
    <row r="501" spans="1:27" hidden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</row>
    <row r="502" spans="1:27" hidden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</row>
    <row r="503" spans="1:27" hidden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</row>
    <row r="504" spans="1:27" hidden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</row>
    <row r="505" spans="1:27" hidden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</row>
    <row r="506" spans="1:27" hidden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</row>
    <row r="507" spans="1:27" hidden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</row>
    <row r="508" spans="1:27" hidden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</row>
    <row r="509" spans="1:27" hidden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</row>
    <row r="510" spans="1:27" hidden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</row>
    <row r="511" spans="1:27" hidden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</row>
    <row r="512" spans="1:27" hidden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</row>
    <row r="513" spans="1:27" hidden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</row>
    <row r="514" spans="1:27" hidden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</row>
    <row r="515" spans="1:27" hidden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</row>
    <row r="516" spans="1:27" hidden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</row>
    <row r="517" spans="1:27" hidden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</row>
    <row r="518" spans="1:27" hidden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</row>
    <row r="519" spans="1:27" hidden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</row>
    <row r="520" spans="1:27" hidden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</row>
    <row r="521" spans="1:27" hidden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</row>
    <row r="522" spans="1:27" hidden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</row>
    <row r="523" spans="1:27" hidden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</row>
    <row r="524" spans="1:27" hidden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</row>
    <row r="525" spans="1:27" hidden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</row>
    <row r="526" spans="1:27" hidden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</row>
    <row r="527" spans="1:27" hidden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</row>
    <row r="528" spans="1:27" hidden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</row>
    <row r="529" spans="1:27" hidden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</row>
    <row r="530" spans="1:27" hidden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</row>
    <row r="531" spans="1:27" hidden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</row>
    <row r="532" spans="1:27" hidden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</row>
    <row r="533" spans="1:27" hidden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</row>
    <row r="534" spans="1:27" hidden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</row>
    <row r="535" spans="1:27" hidden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</row>
    <row r="536" spans="1:27" hidden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</row>
    <row r="537" spans="1:27" hidden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</row>
    <row r="538" spans="1:27" hidden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</row>
    <row r="539" spans="1:27" hidden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</row>
    <row r="540" spans="1:27" hidden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</row>
    <row r="541" spans="1:27" hidden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</row>
    <row r="542" spans="1:27" hidden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</row>
    <row r="543" spans="1:27" hidden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</row>
    <row r="544" spans="1:27" hidden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</row>
    <row r="545" spans="1:27" hidden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</row>
    <row r="546" spans="1:27" hidden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</row>
    <row r="547" spans="1:27" hidden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</row>
    <row r="548" spans="1:27" hidden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</row>
    <row r="549" spans="1:27" hidden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</row>
    <row r="550" spans="1:27" hidden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</row>
    <row r="551" spans="1:27" hidden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</row>
    <row r="552" spans="1:27" hidden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</row>
    <row r="553" spans="1:27" hidden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</row>
    <row r="554" spans="1:27" hidden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</row>
    <row r="555" spans="1:27" hidden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</row>
    <row r="556" spans="1:27" hidden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</row>
    <row r="557" spans="1:27" hidden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</row>
    <row r="558" spans="1:27" hidden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</row>
    <row r="559" spans="1:27" hidden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</row>
    <row r="560" spans="1:27" hidden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</row>
    <row r="561" spans="1:27" hidden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</row>
    <row r="562" spans="1:27" hidden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</row>
    <row r="563" spans="1:27" hidden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</row>
    <row r="564" spans="1:27" hidden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</row>
    <row r="565" spans="1:27" hidden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</row>
    <row r="566" spans="1:27" hidden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</row>
    <row r="567" spans="1:27" hidden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</row>
    <row r="568" spans="1:27" hidden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</row>
    <row r="569" spans="1:27" hidden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</row>
    <row r="570" spans="1:27" hidden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</row>
    <row r="571" spans="1:27" hidden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</row>
    <row r="572" spans="1:27" hidden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</row>
    <row r="573" spans="1:27" hidden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</row>
    <row r="574" spans="1:27" hidden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</row>
    <row r="575" spans="1:27" hidden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</row>
    <row r="576" spans="1:27" hidden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</row>
    <row r="577" spans="1:27" hidden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</row>
    <row r="578" spans="1:27" hidden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</row>
    <row r="579" spans="1:27" hidden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</row>
    <row r="580" spans="1:27" hidden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</row>
    <row r="581" spans="1:27" hidden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</row>
    <row r="582" spans="1:27" hidden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</row>
    <row r="583" spans="1:27" hidden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</row>
    <row r="584" spans="1:27" hidden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</row>
    <row r="585" spans="1:27" hidden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</row>
    <row r="586" spans="1:27" hidden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</row>
    <row r="587" spans="1:27" hidden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</row>
    <row r="588" spans="1:27" hidden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</row>
    <row r="589" spans="1:27" hidden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</row>
    <row r="590" spans="1:27" hidden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</row>
    <row r="591" spans="1:27" hidden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</row>
    <row r="592" spans="1:27" hidden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</row>
    <row r="593" spans="1:27" hidden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</row>
    <row r="594" spans="1:27" hidden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</row>
    <row r="595" spans="1:27" hidden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</row>
    <row r="596" spans="1:27" hidden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</row>
    <row r="597" spans="1:27" hidden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</row>
    <row r="598" spans="1:27" hidden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</row>
    <row r="599" spans="1:27" hidden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</row>
    <row r="600" spans="1:27" hidden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</row>
    <row r="601" spans="1:27" hidden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</row>
    <row r="602" spans="1:27" hidden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</row>
    <row r="603" spans="1:27" hidden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</row>
    <row r="604" spans="1:27" hidden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</row>
    <row r="605" spans="1:27" hidden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</row>
    <row r="606" spans="1:27" hidden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</row>
    <row r="607" spans="1:27" hidden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</row>
    <row r="608" spans="1:27" hidden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</row>
    <row r="609" spans="1:27" hidden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</row>
    <row r="610" spans="1:27" hidden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</row>
    <row r="611" spans="1:27" hidden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</row>
    <row r="612" spans="1:27" hidden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</row>
    <row r="613" spans="1:27" hidden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</row>
    <row r="614" spans="1:27" hidden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</row>
    <row r="615" spans="1:27" hidden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</row>
    <row r="616" spans="1:27" hidden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</row>
    <row r="617" spans="1:27" hidden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</row>
    <row r="618" spans="1:27" hidden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</row>
    <row r="619" spans="1:27" hidden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</row>
    <row r="620" spans="1:27" hidden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</row>
    <row r="621" spans="1:27" hidden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</row>
    <row r="622" spans="1:27" hidden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</row>
    <row r="623" spans="1:27" hidden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</row>
    <row r="624" spans="1:27" hidden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</row>
    <row r="625" spans="1:27" hidden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</row>
    <row r="626" spans="1:27" hidden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</row>
    <row r="627" spans="1:27" hidden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</row>
    <row r="628" spans="1:27" hidden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</row>
    <row r="629" spans="1:27" hidden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</row>
    <row r="630" spans="1:27" hidden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</row>
    <row r="631" spans="1:27" hidden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</row>
    <row r="632" spans="1:27" hidden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</row>
    <row r="633" spans="1:27" hidden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</row>
    <row r="634" spans="1:27" hidden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</row>
    <row r="635" spans="1:27" hidden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</row>
    <row r="636" spans="1:27" hidden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</row>
    <row r="637" spans="1:27" hidden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</row>
    <row r="638" spans="1:27" hidden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</row>
    <row r="639" spans="1:27" hidden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</row>
    <row r="640" spans="1:27" hidden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</row>
    <row r="641" spans="1:27" hidden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</row>
    <row r="642" spans="1:27" hidden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</row>
    <row r="643" spans="1:27" hidden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</row>
    <row r="644" spans="1:27" hidden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</row>
    <row r="645" spans="1:27" hidden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</row>
    <row r="646" spans="1:27" hidden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</row>
    <row r="647" spans="1:27" hidden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</row>
    <row r="648" spans="1:27" hidden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</row>
    <row r="649" spans="1:27" hidden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</row>
    <row r="650" spans="1:27" hidden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</row>
    <row r="651" spans="1:27" hidden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</row>
    <row r="652" spans="1:27" hidden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</row>
    <row r="653" spans="1:27" hidden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</row>
    <row r="654" spans="1:27" hidden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</row>
    <row r="655" spans="1:27" hidden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</row>
    <row r="656" spans="1:27" hidden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</row>
    <row r="657" spans="1:27" hidden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</row>
    <row r="658" spans="1:27" hidden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</row>
    <row r="659" spans="1:27" hidden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</row>
    <row r="660" spans="1:27" hidden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</row>
    <row r="661" spans="1:27" hidden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</row>
    <row r="662" spans="1:27" hidden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</row>
    <row r="663" spans="1:27" hidden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</row>
    <row r="664" spans="1:27" hidden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</row>
    <row r="665" spans="1:27" hidden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</row>
    <row r="666" spans="1:27" hidden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</row>
    <row r="667" spans="1:27" hidden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</row>
    <row r="668" spans="1:27" hidden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</row>
    <row r="669" spans="1:27" hidden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</row>
    <row r="670" spans="1:27" hidden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</row>
    <row r="671" spans="1:27" hidden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</row>
    <row r="672" spans="1:27" hidden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</row>
    <row r="673" spans="1:27" hidden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</row>
    <row r="674" spans="1:27" hidden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</row>
    <row r="675" spans="1:27" hidden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</row>
    <row r="676" spans="1:27" hidden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</row>
    <row r="677" spans="1:27" hidden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</row>
    <row r="678" spans="1:27" hidden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</row>
    <row r="679" spans="1:27" hidden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</row>
    <row r="680" spans="1:27" hidden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</row>
    <row r="681" spans="1:27" hidden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</row>
    <row r="682" spans="1:27" hidden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</row>
    <row r="683" spans="1:27" hidden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</row>
    <row r="684" spans="1:27" hidden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</row>
    <row r="685" spans="1:27" hidden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</row>
    <row r="686" spans="1:27" hidden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</row>
    <row r="687" spans="1:27" hidden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</row>
    <row r="688" spans="1:27" hidden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</row>
    <row r="689" spans="1:27" hidden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</row>
    <row r="690" spans="1:27" hidden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</row>
    <row r="691" spans="1:27" hidden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</row>
    <row r="692" spans="1:27" hidden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</row>
    <row r="693" spans="1:27" hidden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</row>
    <row r="694" spans="1:27" hidden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</row>
    <row r="695" spans="1:27" hidden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</row>
    <row r="696" spans="1:27" hidden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</row>
    <row r="697" spans="1:27" hidden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</row>
    <row r="698" spans="1:27" hidden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</row>
    <row r="699" spans="1:27" hidden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</row>
    <row r="700" spans="1:27" hidden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</row>
    <row r="701" spans="1:27" hidden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</row>
    <row r="702" spans="1:27" hidden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</row>
    <row r="703" spans="1:27" hidden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</row>
    <row r="704" spans="1:27" hidden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</row>
    <row r="705" spans="1:27" hidden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</row>
    <row r="706" spans="1:27" hidden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</row>
    <row r="707" spans="1:27" hidden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</row>
    <row r="708" spans="1:27" hidden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</row>
    <row r="709" spans="1:27" hidden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</row>
    <row r="710" spans="1:27" hidden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</row>
    <row r="711" spans="1:27" hidden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</row>
    <row r="712" spans="1:27" hidden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</row>
    <row r="713" spans="1:27" hidden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</row>
    <row r="714" spans="1:27" hidden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</row>
    <row r="715" spans="1:27" hidden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</row>
    <row r="716" spans="1:27" hidden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</row>
    <row r="717" spans="1:27" hidden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</row>
    <row r="718" spans="1:27" hidden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</row>
    <row r="719" spans="1:27" hidden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</row>
    <row r="720" spans="1:27" hidden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</row>
    <row r="721" spans="1:27" hidden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</row>
    <row r="722" spans="1:27" hidden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</row>
    <row r="723" spans="1:27" hidden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</row>
    <row r="724" spans="1:27" hidden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</row>
    <row r="725" spans="1:27" hidden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</row>
    <row r="726" spans="1:27" hidden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</row>
    <row r="727" spans="1:27" hidden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</row>
    <row r="728" spans="1:27" hidden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</row>
    <row r="729" spans="1:27" hidden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</row>
    <row r="730" spans="1:27" hidden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</row>
    <row r="731" spans="1:27" hidden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</row>
    <row r="732" spans="1:27" hidden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</row>
    <row r="733" spans="1:27" hidden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</row>
    <row r="734" spans="1:27" hidden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</row>
    <row r="735" spans="1:27" hidden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</row>
    <row r="736" spans="1:27" hidden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</row>
    <row r="737" spans="1:27" hidden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</row>
    <row r="738" spans="1:27" hidden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</row>
    <row r="739" spans="1:27" hidden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</row>
    <row r="740" spans="1:27" hidden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</row>
    <row r="741" spans="1:27" hidden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</row>
    <row r="742" spans="1:27" hidden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</row>
    <row r="743" spans="1:27" hidden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</row>
    <row r="744" spans="1:27" hidden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</row>
    <row r="745" spans="1:27" hidden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</row>
    <row r="746" spans="1:27" hidden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</row>
    <row r="747" spans="1:27" hidden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</row>
    <row r="748" spans="1:27" hidden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</row>
    <row r="749" spans="1:27" hidden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</row>
    <row r="750" spans="1:27" hidden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</row>
    <row r="751" spans="1:27" hidden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</row>
    <row r="752" spans="1:27" hidden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</row>
    <row r="753" spans="1:27" hidden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</row>
    <row r="754" spans="1:27" hidden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</row>
    <row r="755" spans="1:27" hidden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</row>
    <row r="756" spans="1:27" hidden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</row>
    <row r="757" spans="1:27" hidden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</row>
    <row r="758" spans="1:27" hidden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</row>
    <row r="759" spans="1:27" hidden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</row>
    <row r="760" spans="1:27" hidden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</row>
    <row r="761" spans="1:27" hidden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</row>
    <row r="762" spans="1:27" hidden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</row>
    <row r="763" spans="1:27" hidden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</row>
    <row r="764" spans="1:27" hidden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</row>
    <row r="765" spans="1:27" hidden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</row>
    <row r="766" spans="1:27" hidden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</row>
    <row r="767" spans="1:27" hidden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</row>
    <row r="768" spans="1:27" hidden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</row>
    <row r="769" spans="1:27" hidden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</row>
    <row r="770" spans="1:27" hidden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</row>
    <row r="771" spans="1:27" hidden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</row>
    <row r="772" spans="1:27" hidden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</row>
    <row r="773" spans="1:27" hidden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</row>
    <row r="774" spans="1:27" hidden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</row>
    <row r="775" spans="1:27" hidden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</row>
    <row r="776" spans="1:27" hidden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</row>
    <row r="777" spans="1:27" hidden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</row>
    <row r="778" spans="1:27" hidden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</row>
    <row r="779" spans="1:27" hidden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</row>
    <row r="780" spans="1:27" hidden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</row>
    <row r="781" spans="1:27" hidden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</row>
    <row r="782" spans="1:27" hidden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</row>
    <row r="783" spans="1:27" hidden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</row>
    <row r="784" spans="1:27" hidden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</row>
    <row r="785" spans="1:27" hidden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</row>
    <row r="786" spans="1:27" hidden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</row>
    <row r="787" spans="1:27" hidden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</row>
    <row r="788" spans="1:27" hidden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</row>
    <row r="789" spans="1:27" hidden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</row>
    <row r="790" spans="1:27" hidden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</row>
    <row r="791" spans="1:27" hidden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</row>
    <row r="792" spans="1:27" hidden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</row>
    <row r="793" spans="1:27" hidden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</row>
    <row r="794" spans="1:27" hidden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</row>
    <row r="795" spans="1:27" hidden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</row>
    <row r="796" spans="1:27" hidden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</row>
    <row r="797" spans="1:27" hidden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</row>
    <row r="798" spans="1:27" hidden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</row>
    <row r="799" spans="1:27" hidden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</row>
    <row r="800" spans="1:27" hidden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</row>
    <row r="801" spans="1:27" hidden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</row>
    <row r="802" spans="1:27" hidden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</row>
    <row r="803" spans="1:27" hidden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</row>
    <row r="804" spans="1:27" hidden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</row>
    <row r="805" spans="1:27" hidden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</row>
    <row r="806" spans="1:27" hidden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</row>
    <row r="807" spans="1:27" hidden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</row>
    <row r="808" spans="1:27" hidden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</row>
    <row r="809" spans="1:27" hidden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</row>
    <row r="810" spans="1:27" hidden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</row>
    <row r="811" spans="1:27" hidden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</row>
    <row r="812" spans="1:27" hidden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</row>
    <row r="813" spans="1:27" hidden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</row>
    <row r="814" spans="1:27" hidden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</row>
    <row r="815" spans="1:27" hidden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</row>
    <row r="816" spans="1:27" hidden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</row>
    <row r="817" spans="1:27" hidden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</row>
    <row r="818" spans="1:27" hidden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</row>
    <row r="819" spans="1:27" hidden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</row>
    <row r="820" spans="1:27" hidden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</row>
    <row r="821" spans="1:27" hidden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</row>
    <row r="822" spans="1:27" hidden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</row>
    <row r="823" spans="1:27" hidden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</row>
    <row r="824" spans="1:27" hidden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</row>
    <row r="825" spans="1:27" hidden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</row>
    <row r="826" spans="1:27" hidden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</row>
    <row r="827" spans="1:27" hidden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</row>
    <row r="828" spans="1:27" hidden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</row>
    <row r="829" spans="1:27" hidden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</row>
    <row r="830" spans="1:27" hidden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</row>
    <row r="831" spans="1:27" hidden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</row>
    <row r="832" spans="1:27" hidden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</row>
    <row r="833" spans="1:27" hidden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</row>
    <row r="834" spans="1:27" hidden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</row>
    <row r="835" spans="1:27" hidden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</row>
    <row r="836" spans="1:27" hidden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</row>
    <row r="837" spans="1:27" hidden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</row>
    <row r="838" spans="1:27" hidden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</row>
    <row r="839" spans="1:27" hidden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</row>
    <row r="840" spans="1:27" hidden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</row>
    <row r="841" spans="1:27" hidden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</row>
    <row r="842" spans="1:27" hidden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</row>
    <row r="843" spans="1:27" hidden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</row>
    <row r="844" spans="1:27" hidden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</row>
    <row r="845" spans="1:27" hidden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</row>
    <row r="846" spans="1:27" hidden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</row>
    <row r="847" spans="1:27" hidden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</row>
    <row r="848" spans="1:27" hidden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</row>
    <row r="849" spans="1:27" hidden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</row>
    <row r="850" spans="1:27" hidden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</row>
    <row r="851" spans="1:27" hidden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</row>
    <row r="852" spans="1:27" hidden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</row>
    <row r="853" spans="1:27" hidden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</row>
    <row r="854" spans="1:27" hidden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</row>
    <row r="855" spans="1:27" hidden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</row>
    <row r="856" spans="1:27" hidden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</row>
    <row r="857" spans="1:27" hidden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</row>
    <row r="858" spans="1:27" hidden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</row>
    <row r="859" spans="1:27" hidden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</row>
    <row r="860" spans="1:27" hidden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</row>
    <row r="861" spans="1:27" hidden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</row>
    <row r="862" spans="1:27" hidden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</row>
    <row r="863" spans="1:27" hidden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</row>
    <row r="864" spans="1:27" hidden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</row>
    <row r="865" spans="1:27" hidden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</row>
    <row r="866" spans="1:27" hidden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</row>
    <row r="867" spans="1:27" hidden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</row>
    <row r="868" spans="1:27" hidden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</row>
    <row r="869" spans="1:27" hidden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</row>
    <row r="870" spans="1:27" hidden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</row>
    <row r="871" spans="1:27" hidden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</row>
    <row r="872" spans="1:27" hidden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</row>
    <row r="873" spans="1:27" hidden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</row>
    <row r="874" spans="1:27" hidden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</row>
    <row r="875" spans="1:27" hidden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</row>
    <row r="876" spans="1:27" hidden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</row>
    <row r="877" spans="1:27" hidden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</row>
    <row r="878" spans="1:27" hidden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</row>
    <row r="879" spans="1:27" hidden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</row>
    <row r="880" spans="1:27" hidden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</row>
    <row r="881" spans="1:27" hidden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</row>
    <row r="882" spans="1:27" hidden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</row>
    <row r="883" spans="1:27" hidden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</row>
    <row r="884" spans="1:27" hidden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</row>
    <row r="885" spans="1:27" hidden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</row>
    <row r="886" spans="1:27" hidden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</row>
    <row r="887" spans="1:27" hidden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</row>
    <row r="888" spans="1:27" hidden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</row>
    <row r="889" spans="1:27" hidden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</row>
    <row r="890" spans="1:27" hidden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</row>
    <row r="891" spans="1:27" hidden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</row>
    <row r="892" spans="1:27" hidden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</row>
    <row r="893" spans="1:27" hidden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</row>
    <row r="894" spans="1:27" hidden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</row>
    <row r="895" spans="1:27" hidden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</row>
    <row r="896" spans="1:27" hidden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</row>
    <row r="897" spans="1:27" hidden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</row>
    <row r="898" spans="1:27" hidden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</row>
    <row r="899" spans="1:27" hidden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</row>
    <row r="900" spans="1:27" hidden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</row>
    <row r="901" spans="1:27" hidden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</row>
    <row r="902" spans="1:27" hidden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</row>
    <row r="903" spans="1:27" hidden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</row>
    <row r="904" spans="1:27" hidden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</row>
    <row r="905" spans="1:27" hidden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</row>
    <row r="906" spans="1:27" hidden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</row>
    <row r="907" spans="1:27" hidden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</row>
    <row r="908" spans="1:27" hidden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</row>
    <row r="909" spans="1:27" hidden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</row>
    <row r="910" spans="1:27" hidden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</row>
    <row r="911" spans="1:27" hidden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</row>
    <row r="912" spans="1:27" hidden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</row>
    <row r="913" spans="1:27" hidden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</row>
    <row r="914" spans="1:27" hidden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</row>
    <row r="915" spans="1:27" hidden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</row>
    <row r="916" spans="1:27" hidden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</row>
    <row r="917" spans="1:27" hidden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</row>
    <row r="918" spans="1:27" hidden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</row>
    <row r="919" spans="1:27" hidden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</row>
    <row r="920" spans="1:27" hidden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</row>
    <row r="921" spans="1:27" hidden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</row>
    <row r="922" spans="1:27" hidden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</row>
    <row r="923" spans="1:27" hidden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</row>
    <row r="924" spans="1:27" hidden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</row>
    <row r="925" spans="1:27" hidden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</row>
    <row r="926" spans="1:27" hidden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</row>
    <row r="927" spans="1:27" hidden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</row>
    <row r="928" spans="1:27" hidden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</row>
    <row r="929" spans="1:27" hidden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</row>
    <row r="930" spans="1:27" hidden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</row>
    <row r="931" spans="1:27" hidden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</row>
    <row r="932" spans="1:27" hidden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</row>
    <row r="933" spans="1:27" hidden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</row>
    <row r="934" spans="1:27" hidden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</row>
    <row r="935" spans="1:27" hidden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</row>
    <row r="936" spans="1:27" hidden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</row>
    <row r="937" spans="1:27" hidden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</row>
    <row r="938" spans="1:27" hidden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</row>
    <row r="939" spans="1:27" hidden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</row>
    <row r="940" spans="1:27" hidden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</row>
    <row r="941" spans="1:27" hidden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</row>
    <row r="942" spans="1:27" hidden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</row>
    <row r="943" spans="1:27" hidden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</row>
    <row r="944" spans="1:27" hidden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</row>
    <row r="945" spans="1:27" hidden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</row>
    <row r="946" spans="1:27" hidden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</row>
    <row r="947" spans="1:27" hidden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</row>
    <row r="948" spans="1:27" hidden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</row>
    <row r="949" spans="1:27" hidden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</row>
    <row r="950" spans="1:27" hidden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</row>
    <row r="951" spans="1:27" hidden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</row>
    <row r="952" spans="1:27" hidden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</row>
    <row r="953" spans="1:27" hidden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</row>
    <row r="954" spans="1:27" hidden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</row>
    <row r="955" spans="1:27" hidden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</row>
    <row r="956" spans="1:27" hidden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</row>
    <row r="957" spans="1:27" hidden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</row>
    <row r="958" spans="1:27" hidden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</row>
    <row r="959" spans="1:27" hidden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</row>
    <row r="960" spans="1:27" hidden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</row>
    <row r="961" spans="1:27" hidden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</row>
    <row r="962" spans="1:27" hidden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</row>
    <row r="963" spans="1:27" hidden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</row>
    <row r="964" spans="1:27" hidden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</row>
    <row r="965" spans="1:27" hidden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</row>
    <row r="966" spans="1:27" hidden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</row>
    <row r="967" spans="1:27" hidden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</row>
    <row r="968" spans="1:27" hidden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</row>
    <row r="969" spans="1:27" hidden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</row>
    <row r="970" spans="1:27" hidden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</row>
    <row r="971" spans="1:27" hidden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</row>
    <row r="972" spans="1:27" hidden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</row>
    <row r="973" spans="1:27" hidden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</row>
    <row r="974" spans="1:27" hidden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</row>
    <row r="975" spans="1:27" hidden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</row>
    <row r="976" spans="1:27" hidden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</row>
    <row r="977" spans="1:27" hidden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</row>
    <row r="978" spans="1:27" hidden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</row>
    <row r="979" spans="1:27" hidden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</row>
    <row r="980" spans="1:27" hidden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</row>
    <row r="981" spans="1:27" hidden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</row>
    <row r="982" spans="1:27" hidden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</row>
    <row r="983" spans="1:27" hidden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</row>
    <row r="984" spans="1:27" hidden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</row>
    <row r="985" spans="1:27" hidden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</row>
    <row r="986" spans="1:27" hidden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</row>
    <row r="987" spans="1:27" hidden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</row>
    <row r="988" spans="1:27" hidden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</row>
    <row r="989" spans="1:27" hidden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</row>
    <row r="990" spans="1:27" hidden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</row>
    <row r="991" spans="1:27">
      <c r="A991" s="132" t="s">
        <v>828</v>
      </c>
    </row>
    <row r="992" spans="1:27"/>
    <row r="993" spans="1:9">
      <c r="A993" s="914" t="s">
        <v>823</v>
      </c>
      <c r="B993" s="914"/>
      <c r="C993" s="914"/>
      <c r="D993" s="914"/>
      <c r="E993" s="914"/>
      <c r="F993" s="914"/>
      <c r="G993" s="914"/>
      <c r="H993" s="914"/>
      <c r="I993" s="914"/>
    </row>
    <row r="994" spans="1:9"/>
    <row r="995" spans="1:9"/>
    <row r="996" spans="1:9"/>
  </sheetData>
  <mergeCells count="8">
    <mergeCell ref="A993:I993"/>
    <mergeCell ref="A1:C1"/>
    <mergeCell ref="B24:E24"/>
    <mergeCell ref="B3:E3"/>
    <mergeCell ref="B4:E4"/>
    <mergeCell ref="B5:E5"/>
    <mergeCell ref="B15:E15"/>
    <mergeCell ref="B19:E19"/>
  </mergeCells>
  <pageMargins left="0.25" right="0.25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018"/>
  <sheetViews>
    <sheetView topLeftCell="A987" zoomScale="120" zoomScaleNormal="120" workbookViewId="0">
      <selection activeCell="H987" sqref="H987"/>
    </sheetView>
  </sheetViews>
  <sheetFormatPr defaultColWidth="11.140625" defaultRowHeight="12"/>
  <cols>
    <col min="1" max="1" width="11.140625" style="136"/>
    <col min="2" max="2" width="11.140625" style="137"/>
    <col min="3" max="3" width="11.140625" style="250"/>
    <col min="4" max="4" width="11.140625" style="137"/>
    <col min="5" max="5" width="11.140625" style="223"/>
    <col min="6" max="6" width="11.140625" style="138"/>
    <col min="7" max="7" width="13.85546875" style="134" customWidth="1"/>
    <col min="8" max="8" width="13" style="134" customWidth="1"/>
    <col min="9" max="9" width="16.140625" style="134" customWidth="1"/>
    <col min="10" max="16384" width="11.140625" style="135"/>
  </cols>
  <sheetData>
    <row r="1" spans="1:35">
      <c r="A1" s="923" t="s">
        <v>201</v>
      </c>
      <c r="B1" s="923"/>
      <c r="C1" s="923"/>
      <c r="D1" s="923"/>
      <c r="E1" s="923"/>
      <c r="F1" s="923"/>
      <c r="G1" s="924"/>
    </row>
    <row r="2" spans="1:35">
      <c r="A2" s="865" t="s">
        <v>837</v>
      </c>
    </row>
    <row r="3" spans="1:35">
      <c r="A3" s="921" t="s">
        <v>820</v>
      </c>
      <c r="B3" s="921"/>
      <c r="C3" s="921"/>
      <c r="D3" s="921"/>
      <c r="E3" s="921"/>
      <c r="F3" s="921"/>
      <c r="G3" s="922"/>
    </row>
    <row r="4" spans="1:35" s="140" customFormat="1" ht="12.75" thickBot="1">
      <c r="A4" s="139"/>
      <c r="B4" s="139"/>
      <c r="C4" s="251"/>
      <c r="D4" s="139"/>
      <c r="E4" s="224"/>
      <c r="F4" s="139"/>
      <c r="G4" s="134"/>
      <c r="H4" s="920" t="s">
        <v>790</v>
      </c>
      <c r="I4" s="920"/>
    </row>
    <row r="5" spans="1:35" s="145" customFormat="1" ht="24.75" thickBot="1">
      <c r="A5" s="141" t="s">
        <v>703</v>
      </c>
      <c r="B5" s="142" t="s">
        <v>704</v>
      </c>
      <c r="C5" s="252" t="s">
        <v>202</v>
      </c>
      <c r="D5" s="142" t="s">
        <v>100</v>
      </c>
      <c r="E5" s="225" t="s">
        <v>705</v>
      </c>
      <c r="F5" s="335" t="s">
        <v>706</v>
      </c>
      <c r="G5" s="336" t="s">
        <v>804</v>
      </c>
      <c r="H5" s="143" t="s">
        <v>821</v>
      </c>
      <c r="I5" s="144" t="s">
        <v>822</v>
      </c>
    </row>
    <row r="6" spans="1:35" ht="24">
      <c r="A6" s="146" t="s">
        <v>49</v>
      </c>
      <c r="B6" s="147">
        <v>11</v>
      </c>
      <c r="C6" s="253" t="s">
        <v>19</v>
      </c>
      <c r="D6" s="147">
        <v>3111</v>
      </c>
      <c r="E6" s="226" t="s">
        <v>50</v>
      </c>
      <c r="F6" s="148" t="s">
        <v>681</v>
      </c>
      <c r="G6" s="481">
        <v>34173856</v>
      </c>
      <c r="H6" s="879">
        <v>33390131.41</v>
      </c>
      <c r="I6" s="880">
        <v>36700000</v>
      </c>
      <c r="J6" s="374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</row>
    <row r="7" spans="1:35" ht="36">
      <c r="A7" s="146" t="s">
        <v>49</v>
      </c>
      <c r="B7" s="147">
        <v>11</v>
      </c>
      <c r="C7" s="253" t="s">
        <v>19</v>
      </c>
      <c r="D7" s="147">
        <v>3114</v>
      </c>
      <c r="E7" s="226" t="s">
        <v>750</v>
      </c>
      <c r="F7" s="148" t="s">
        <v>681</v>
      </c>
      <c r="G7" s="503">
        <v>32520</v>
      </c>
      <c r="H7" s="879">
        <v>7412.49</v>
      </c>
      <c r="I7" s="880">
        <v>8500</v>
      </c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</row>
    <row r="8" spans="1:35" ht="36">
      <c r="A8" s="150" t="s">
        <v>49</v>
      </c>
      <c r="B8" s="151">
        <v>11</v>
      </c>
      <c r="C8" s="254" t="s">
        <v>19</v>
      </c>
      <c r="D8" s="151">
        <v>3121</v>
      </c>
      <c r="E8" s="227" t="s">
        <v>51</v>
      </c>
      <c r="F8" s="153" t="s">
        <v>681</v>
      </c>
      <c r="G8" s="503">
        <v>840946</v>
      </c>
      <c r="H8" s="879">
        <v>473075.08</v>
      </c>
      <c r="I8" s="880">
        <v>970000</v>
      </c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</row>
    <row r="9" spans="1:35" ht="48">
      <c r="A9" s="150" t="s">
        <v>49</v>
      </c>
      <c r="B9" s="151">
        <v>11</v>
      </c>
      <c r="C9" s="254" t="s">
        <v>19</v>
      </c>
      <c r="D9" s="151">
        <v>3132</v>
      </c>
      <c r="E9" s="227" t="s">
        <v>52</v>
      </c>
      <c r="F9" s="153" t="s">
        <v>681</v>
      </c>
      <c r="G9" s="503">
        <v>5611700</v>
      </c>
      <c r="H9" s="879">
        <v>5480548.6699999999</v>
      </c>
      <c r="I9" s="880">
        <v>6055500</v>
      </c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</row>
    <row r="10" spans="1:35" ht="72">
      <c r="A10" s="150" t="s">
        <v>49</v>
      </c>
      <c r="B10" s="151">
        <v>11</v>
      </c>
      <c r="C10" s="254" t="s">
        <v>19</v>
      </c>
      <c r="D10" s="151">
        <v>3212</v>
      </c>
      <c r="E10" s="227" t="s">
        <v>53</v>
      </c>
      <c r="F10" s="153" t="s">
        <v>681</v>
      </c>
      <c r="G10" s="503">
        <v>438610</v>
      </c>
      <c r="H10" s="879">
        <v>480995.58</v>
      </c>
      <c r="I10" s="880">
        <v>590000</v>
      </c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</row>
    <row r="11" spans="1:35" ht="48">
      <c r="A11" s="150" t="s">
        <v>49</v>
      </c>
      <c r="B11" s="151">
        <v>11</v>
      </c>
      <c r="C11" s="254" t="s">
        <v>19</v>
      </c>
      <c r="D11" s="151">
        <v>3236</v>
      </c>
      <c r="E11" s="227" t="s">
        <v>54</v>
      </c>
      <c r="F11" s="153" t="s">
        <v>681</v>
      </c>
      <c r="G11" s="503">
        <v>36000</v>
      </c>
      <c r="H11" s="879">
        <v>78640</v>
      </c>
      <c r="I11" s="880">
        <v>78640</v>
      </c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</row>
    <row r="12" spans="1:35" ht="24">
      <c r="A12" s="150" t="s">
        <v>49</v>
      </c>
      <c r="B12" s="151">
        <v>11</v>
      </c>
      <c r="C12" s="254" t="s">
        <v>19</v>
      </c>
      <c r="D12" s="151">
        <v>3295</v>
      </c>
      <c r="E12" s="227" t="s">
        <v>55</v>
      </c>
      <c r="F12" s="153" t="s">
        <v>681</v>
      </c>
      <c r="G12" s="503">
        <v>30945</v>
      </c>
      <c r="H12" s="879">
        <v>14825</v>
      </c>
      <c r="I12" s="880">
        <v>14825</v>
      </c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</row>
    <row r="13" spans="1:35" ht="48.75" thickBot="1">
      <c r="A13" s="154" t="s">
        <v>49</v>
      </c>
      <c r="B13" s="155">
        <v>11</v>
      </c>
      <c r="C13" s="255" t="s">
        <v>19</v>
      </c>
      <c r="D13" s="155">
        <v>3299</v>
      </c>
      <c r="E13" s="228" t="s">
        <v>57</v>
      </c>
      <c r="F13" s="156" t="s">
        <v>681</v>
      </c>
      <c r="G13" s="535"/>
      <c r="H13" s="879"/>
      <c r="I13" s="880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</row>
    <row r="14" spans="1:35" s="161" customFormat="1" ht="24.75" thickBot="1">
      <c r="A14" s="157" t="s">
        <v>49</v>
      </c>
      <c r="B14" s="158">
        <v>11</v>
      </c>
      <c r="C14" s="256" t="s">
        <v>19</v>
      </c>
      <c r="D14" s="158"/>
      <c r="E14" s="229" t="s">
        <v>161</v>
      </c>
      <c r="F14" s="159" t="s">
        <v>681</v>
      </c>
      <c r="G14" s="881">
        <f>SUM(G6:G13)</f>
        <v>41164577</v>
      </c>
      <c r="H14" s="876">
        <f>SUM(H6:H13)</f>
        <v>39925628.229999997</v>
      </c>
      <c r="I14" s="877">
        <f>SUM(I6:I13)</f>
        <v>44417465</v>
      </c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</row>
    <row r="15" spans="1:35" ht="24">
      <c r="A15" s="146" t="s">
        <v>49</v>
      </c>
      <c r="B15" s="147">
        <v>11</v>
      </c>
      <c r="C15" s="253" t="s">
        <v>19</v>
      </c>
      <c r="D15" s="147">
        <v>3111</v>
      </c>
      <c r="E15" s="226" t="s">
        <v>50</v>
      </c>
      <c r="F15" s="148" t="s">
        <v>682</v>
      </c>
      <c r="G15" s="570">
        <v>200000</v>
      </c>
      <c r="H15" s="879">
        <v>82548.289999999994</v>
      </c>
      <c r="I15" s="880">
        <v>85000</v>
      </c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</row>
    <row r="16" spans="1:35" ht="32.25" customHeight="1">
      <c r="A16" s="146" t="s">
        <v>49</v>
      </c>
      <c r="B16" s="147">
        <v>11</v>
      </c>
      <c r="C16" s="253" t="s">
        <v>19</v>
      </c>
      <c r="D16" s="147">
        <v>3112</v>
      </c>
      <c r="E16" s="226" t="s">
        <v>96</v>
      </c>
      <c r="F16" s="148" t="s">
        <v>682</v>
      </c>
      <c r="G16" s="503"/>
      <c r="H16" s="879"/>
      <c r="I16" s="880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</row>
    <row r="17" spans="1:35" ht="35.25" customHeight="1">
      <c r="A17" s="146" t="s">
        <v>49</v>
      </c>
      <c r="B17" s="147">
        <v>11</v>
      </c>
      <c r="C17" s="253" t="s">
        <v>19</v>
      </c>
      <c r="D17" s="147">
        <v>3113</v>
      </c>
      <c r="E17" s="226" t="s">
        <v>751</v>
      </c>
      <c r="F17" s="148" t="s">
        <v>682</v>
      </c>
      <c r="G17" s="503"/>
      <c r="H17" s="879"/>
      <c r="I17" s="880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</row>
    <row r="18" spans="1:35" ht="36">
      <c r="A18" s="146" t="s">
        <v>49</v>
      </c>
      <c r="B18" s="147">
        <v>11</v>
      </c>
      <c r="C18" s="253" t="s">
        <v>19</v>
      </c>
      <c r="D18" s="147">
        <v>3114</v>
      </c>
      <c r="E18" s="226" t="s">
        <v>750</v>
      </c>
      <c r="F18" s="148" t="s">
        <v>682</v>
      </c>
      <c r="G18" s="503"/>
      <c r="H18" s="879"/>
      <c r="I18" s="880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</row>
    <row r="19" spans="1:35" ht="36">
      <c r="A19" s="150" t="s">
        <v>49</v>
      </c>
      <c r="B19" s="151">
        <v>11</v>
      </c>
      <c r="C19" s="254" t="s">
        <v>19</v>
      </c>
      <c r="D19" s="151">
        <v>3121</v>
      </c>
      <c r="E19" s="227" t="s">
        <v>51</v>
      </c>
      <c r="F19" s="153" t="s">
        <v>682</v>
      </c>
      <c r="G19" s="503"/>
      <c r="H19" s="879">
        <v>179900</v>
      </c>
      <c r="I19" s="880">
        <v>179900</v>
      </c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</row>
    <row r="20" spans="1:35" ht="36">
      <c r="A20" s="150" t="s">
        <v>49</v>
      </c>
      <c r="B20" s="151">
        <v>11</v>
      </c>
      <c r="C20" s="254" t="s">
        <v>19</v>
      </c>
      <c r="D20" s="151">
        <v>3131</v>
      </c>
      <c r="E20" s="227" t="s">
        <v>752</v>
      </c>
      <c r="F20" s="153" t="s">
        <v>682</v>
      </c>
      <c r="G20" s="503"/>
      <c r="H20" s="879"/>
      <c r="I20" s="880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</row>
    <row r="21" spans="1:35" ht="48">
      <c r="A21" s="150" t="s">
        <v>49</v>
      </c>
      <c r="B21" s="151">
        <v>11</v>
      </c>
      <c r="C21" s="254" t="s">
        <v>19</v>
      </c>
      <c r="D21" s="151">
        <v>3132</v>
      </c>
      <c r="E21" s="227" t="s">
        <v>52</v>
      </c>
      <c r="F21" s="153" t="s">
        <v>682</v>
      </c>
      <c r="G21" s="503">
        <v>33000</v>
      </c>
      <c r="H21" s="879">
        <v>13620.51</v>
      </c>
      <c r="I21" s="880">
        <v>14025</v>
      </c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</row>
    <row r="22" spans="1:35" ht="72">
      <c r="A22" s="150" t="s">
        <v>49</v>
      </c>
      <c r="B22" s="151">
        <v>11</v>
      </c>
      <c r="C22" s="254" t="s">
        <v>19</v>
      </c>
      <c r="D22" s="151">
        <v>3133</v>
      </c>
      <c r="E22" s="227" t="s">
        <v>753</v>
      </c>
      <c r="F22" s="153" t="s">
        <v>682</v>
      </c>
      <c r="G22" s="503"/>
      <c r="H22" s="879"/>
      <c r="I22" s="880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</row>
    <row r="23" spans="1:35" ht="24">
      <c r="A23" s="150" t="s">
        <v>49</v>
      </c>
      <c r="B23" s="151">
        <v>11</v>
      </c>
      <c r="C23" s="254" t="s">
        <v>19</v>
      </c>
      <c r="D23" s="151">
        <v>3211</v>
      </c>
      <c r="E23" s="227" t="s">
        <v>60</v>
      </c>
      <c r="F23" s="153" t="s">
        <v>682</v>
      </c>
      <c r="G23" s="503">
        <v>417000</v>
      </c>
      <c r="H23" s="879">
        <v>362780.36</v>
      </c>
      <c r="I23" s="880">
        <v>380000</v>
      </c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</row>
    <row r="24" spans="1:35" ht="60">
      <c r="A24" s="150" t="s">
        <v>49</v>
      </c>
      <c r="B24" s="151">
        <v>11</v>
      </c>
      <c r="C24" s="254" t="s">
        <v>19</v>
      </c>
      <c r="D24" s="151">
        <v>3212</v>
      </c>
      <c r="E24" s="227" t="s">
        <v>754</v>
      </c>
      <c r="F24" s="153" t="s">
        <v>682</v>
      </c>
      <c r="G24" s="503"/>
      <c r="H24" s="879"/>
      <c r="I24" s="880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</row>
    <row r="25" spans="1:35" ht="36">
      <c r="A25" s="150" t="s">
        <v>49</v>
      </c>
      <c r="B25" s="151">
        <v>11</v>
      </c>
      <c r="C25" s="254" t="s">
        <v>19</v>
      </c>
      <c r="D25" s="151">
        <v>3213</v>
      </c>
      <c r="E25" s="227" t="s">
        <v>64</v>
      </c>
      <c r="F25" s="153" t="s">
        <v>682</v>
      </c>
      <c r="G25" s="503">
        <v>110000</v>
      </c>
      <c r="H25" s="879">
        <v>127296.02</v>
      </c>
      <c r="I25" s="880">
        <v>135000</v>
      </c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</row>
    <row r="26" spans="1:35" ht="48">
      <c r="A26" s="150" t="s">
        <v>49</v>
      </c>
      <c r="B26" s="151">
        <v>11</v>
      </c>
      <c r="C26" s="254" t="s">
        <v>19</v>
      </c>
      <c r="D26" s="151">
        <v>3214</v>
      </c>
      <c r="E26" s="227" t="s">
        <v>75</v>
      </c>
      <c r="F26" s="153" t="s">
        <v>683</v>
      </c>
      <c r="G26" s="503"/>
      <c r="H26" s="879"/>
      <c r="I26" s="880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</row>
    <row r="27" spans="1:35" ht="60">
      <c r="A27" s="150" t="s">
        <v>49</v>
      </c>
      <c r="B27" s="151">
        <v>11</v>
      </c>
      <c r="C27" s="254" t="s">
        <v>19</v>
      </c>
      <c r="D27" s="151">
        <v>3221</v>
      </c>
      <c r="E27" s="227" t="s">
        <v>65</v>
      </c>
      <c r="F27" s="153" t="s">
        <v>682</v>
      </c>
      <c r="G27" s="503">
        <v>140000</v>
      </c>
      <c r="H27" s="879">
        <v>195251.58</v>
      </c>
      <c r="I27" s="880">
        <v>200000</v>
      </c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</row>
    <row r="28" spans="1:35" ht="24">
      <c r="A28" s="150" t="s">
        <v>49</v>
      </c>
      <c r="B28" s="151">
        <v>11</v>
      </c>
      <c r="C28" s="254" t="s">
        <v>19</v>
      </c>
      <c r="D28" s="151">
        <v>3222</v>
      </c>
      <c r="E28" s="227" t="s">
        <v>76</v>
      </c>
      <c r="F28" s="153" t="s">
        <v>682</v>
      </c>
      <c r="G28" s="503"/>
      <c r="H28" s="879"/>
      <c r="I28" s="880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</row>
    <row r="29" spans="1:35" ht="24">
      <c r="A29" s="150" t="s">
        <v>49</v>
      </c>
      <c r="B29" s="151">
        <v>11</v>
      </c>
      <c r="C29" s="254" t="s">
        <v>19</v>
      </c>
      <c r="D29" s="151">
        <v>3223</v>
      </c>
      <c r="E29" s="227" t="s">
        <v>77</v>
      </c>
      <c r="F29" s="153" t="s">
        <v>682</v>
      </c>
      <c r="G29" s="503">
        <v>493000</v>
      </c>
      <c r="H29" s="879">
        <v>427931.89</v>
      </c>
      <c r="I29" s="880">
        <v>435000</v>
      </c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</row>
    <row r="30" spans="1:35" ht="60">
      <c r="A30" s="150" t="s">
        <v>49</v>
      </c>
      <c r="B30" s="151">
        <v>11</v>
      </c>
      <c r="C30" s="254" t="s">
        <v>19</v>
      </c>
      <c r="D30" s="151">
        <v>3224</v>
      </c>
      <c r="E30" s="227" t="s">
        <v>61</v>
      </c>
      <c r="F30" s="153" t="s">
        <v>682</v>
      </c>
      <c r="G30" s="503"/>
      <c r="H30" s="879"/>
      <c r="I30" s="880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</row>
    <row r="31" spans="1:35" ht="36">
      <c r="A31" s="150" t="s">
        <v>49</v>
      </c>
      <c r="B31" s="151">
        <v>11</v>
      </c>
      <c r="C31" s="254" t="s">
        <v>19</v>
      </c>
      <c r="D31" s="151">
        <v>3225</v>
      </c>
      <c r="E31" s="227" t="s">
        <v>78</v>
      </c>
      <c r="F31" s="153" t="s">
        <v>682</v>
      </c>
      <c r="G31" s="503"/>
      <c r="H31" s="879"/>
      <c r="I31" s="880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</row>
    <row r="32" spans="1:35" ht="60">
      <c r="A32" s="150" t="s">
        <v>49</v>
      </c>
      <c r="B32" s="151">
        <v>11</v>
      </c>
      <c r="C32" s="254" t="s">
        <v>19</v>
      </c>
      <c r="D32" s="151">
        <v>3227</v>
      </c>
      <c r="E32" s="227" t="s">
        <v>89</v>
      </c>
      <c r="F32" s="153" t="s">
        <v>682</v>
      </c>
      <c r="G32" s="503"/>
      <c r="H32" s="879">
        <v>10632</v>
      </c>
      <c r="I32" s="880">
        <v>10632</v>
      </c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</row>
    <row r="33" spans="1:35" ht="48">
      <c r="A33" s="150" t="s">
        <v>49</v>
      </c>
      <c r="B33" s="151">
        <v>11</v>
      </c>
      <c r="C33" s="254" t="s">
        <v>19</v>
      </c>
      <c r="D33" s="151">
        <v>3231</v>
      </c>
      <c r="E33" s="227" t="s">
        <v>79</v>
      </c>
      <c r="F33" s="153" t="s">
        <v>682</v>
      </c>
      <c r="G33" s="503">
        <v>172000</v>
      </c>
      <c r="H33" s="879">
        <v>171159.6</v>
      </c>
      <c r="I33" s="880">
        <v>182700</v>
      </c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</row>
    <row r="34" spans="1:35" ht="48">
      <c r="A34" s="150" t="s">
        <v>49</v>
      </c>
      <c r="B34" s="151">
        <v>11</v>
      </c>
      <c r="C34" s="254" t="s">
        <v>19</v>
      </c>
      <c r="D34" s="151">
        <v>3232</v>
      </c>
      <c r="E34" s="227" t="s">
        <v>80</v>
      </c>
      <c r="F34" s="153" t="s">
        <v>682</v>
      </c>
      <c r="G34" s="503">
        <v>40000</v>
      </c>
      <c r="H34" s="879">
        <v>68900.63</v>
      </c>
      <c r="I34" s="880">
        <v>72000</v>
      </c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</row>
    <row r="35" spans="1:35" ht="36">
      <c r="A35" s="150" t="s">
        <v>49</v>
      </c>
      <c r="B35" s="151">
        <v>11</v>
      </c>
      <c r="C35" s="254" t="s">
        <v>19</v>
      </c>
      <c r="D35" s="151">
        <v>3233</v>
      </c>
      <c r="E35" s="227" t="s">
        <v>81</v>
      </c>
      <c r="F35" s="153" t="s">
        <v>682</v>
      </c>
      <c r="G35" s="503">
        <v>130960</v>
      </c>
      <c r="H35" s="879">
        <v>214584.63</v>
      </c>
      <c r="I35" s="880">
        <v>217000</v>
      </c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</row>
    <row r="36" spans="1:35" ht="24">
      <c r="A36" s="150" t="s">
        <v>49</v>
      </c>
      <c r="B36" s="151">
        <v>11</v>
      </c>
      <c r="C36" s="254" t="s">
        <v>19</v>
      </c>
      <c r="D36" s="151">
        <v>3234</v>
      </c>
      <c r="E36" s="227" t="s">
        <v>87</v>
      </c>
      <c r="F36" s="153" t="s">
        <v>682</v>
      </c>
      <c r="G36" s="503">
        <v>102100</v>
      </c>
      <c r="H36" s="879">
        <v>103834.05</v>
      </c>
      <c r="I36" s="880">
        <v>114000</v>
      </c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</row>
    <row r="37" spans="1:35" ht="24">
      <c r="A37" s="150" t="s">
        <v>49</v>
      </c>
      <c r="B37" s="151">
        <v>11</v>
      </c>
      <c r="C37" s="254" t="s">
        <v>19</v>
      </c>
      <c r="D37" s="151">
        <v>3235</v>
      </c>
      <c r="E37" s="227" t="s">
        <v>88</v>
      </c>
      <c r="F37" s="153" t="s">
        <v>682</v>
      </c>
      <c r="G37" s="503">
        <v>117000</v>
      </c>
      <c r="H37" s="879">
        <v>104003.22</v>
      </c>
      <c r="I37" s="880">
        <v>114000</v>
      </c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</row>
    <row r="38" spans="1:35" ht="48">
      <c r="A38" s="150" t="s">
        <v>49</v>
      </c>
      <c r="B38" s="151">
        <v>11</v>
      </c>
      <c r="C38" s="254" t="s">
        <v>19</v>
      </c>
      <c r="D38" s="151">
        <v>3236</v>
      </c>
      <c r="E38" s="227" t="s">
        <v>54</v>
      </c>
      <c r="F38" s="153" t="s">
        <v>682</v>
      </c>
      <c r="G38" s="503"/>
      <c r="H38" s="879">
        <v>328.74</v>
      </c>
      <c r="I38" s="880">
        <v>329</v>
      </c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</row>
    <row r="39" spans="1:35" ht="36">
      <c r="A39" s="150" t="s">
        <v>49</v>
      </c>
      <c r="B39" s="151">
        <v>11</v>
      </c>
      <c r="C39" s="254" t="s">
        <v>19</v>
      </c>
      <c r="D39" s="151">
        <v>3237</v>
      </c>
      <c r="E39" s="227" t="s">
        <v>62</v>
      </c>
      <c r="F39" s="153" t="s">
        <v>682</v>
      </c>
      <c r="G39" s="503">
        <f>755000-116562</f>
        <v>638438</v>
      </c>
      <c r="H39" s="879">
        <v>807878.63</v>
      </c>
      <c r="I39" s="880">
        <v>830000</v>
      </c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</row>
    <row r="40" spans="1:35" ht="24">
      <c r="A40" s="150" t="s">
        <v>49</v>
      </c>
      <c r="B40" s="151">
        <v>11</v>
      </c>
      <c r="C40" s="254" t="s">
        <v>19</v>
      </c>
      <c r="D40" s="151">
        <v>3238</v>
      </c>
      <c r="E40" s="227" t="s">
        <v>82</v>
      </c>
      <c r="F40" s="153" t="s">
        <v>682</v>
      </c>
      <c r="G40" s="503">
        <v>100000</v>
      </c>
      <c r="H40" s="879">
        <v>137630.94</v>
      </c>
      <c r="I40" s="880">
        <v>160000</v>
      </c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</row>
    <row r="41" spans="1:35" ht="24">
      <c r="A41" s="150" t="s">
        <v>49</v>
      </c>
      <c r="B41" s="151">
        <v>11</v>
      </c>
      <c r="C41" s="254" t="s">
        <v>19</v>
      </c>
      <c r="D41" s="151">
        <v>3239</v>
      </c>
      <c r="E41" s="227" t="s">
        <v>66</v>
      </c>
      <c r="F41" s="153" t="s">
        <v>682</v>
      </c>
      <c r="G41" s="503">
        <v>111400</v>
      </c>
      <c r="H41" s="879">
        <v>132366.96</v>
      </c>
      <c r="I41" s="880">
        <v>145000</v>
      </c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</row>
    <row r="42" spans="1:35" ht="60">
      <c r="A42" s="150" t="s">
        <v>49</v>
      </c>
      <c r="B42" s="151">
        <v>11</v>
      </c>
      <c r="C42" s="254" t="s">
        <v>19</v>
      </c>
      <c r="D42" s="151">
        <v>3241</v>
      </c>
      <c r="E42" s="227" t="s">
        <v>67</v>
      </c>
      <c r="F42" s="153" t="s">
        <v>682</v>
      </c>
      <c r="G42" s="503">
        <v>85000</v>
      </c>
      <c r="H42" s="879">
        <v>97796.11</v>
      </c>
      <c r="I42" s="880">
        <v>105000</v>
      </c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</row>
    <row r="43" spans="1:35" ht="60">
      <c r="A43" s="150" t="s">
        <v>49</v>
      </c>
      <c r="B43" s="151">
        <v>11</v>
      </c>
      <c r="C43" s="254" t="s">
        <v>19</v>
      </c>
      <c r="D43" s="151">
        <v>3291</v>
      </c>
      <c r="E43" s="227" t="s">
        <v>713</v>
      </c>
      <c r="F43" s="153" t="s">
        <v>682</v>
      </c>
      <c r="G43" s="503"/>
      <c r="H43" s="879"/>
      <c r="I43" s="880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</row>
    <row r="44" spans="1:35" ht="24">
      <c r="A44" s="150" t="s">
        <v>49</v>
      </c>
      <c r="B44" s="151">
        <v>11</v>
      </c>
      <c r="C44" s="254" t="s">
        <v>19</v>
      </c>
      <c r="D44" s="151">
        <v>3292</v>
      </c>
      <c r="E44" s="227" t="s">
        <v>59</v>
      </c>
      <c r="F44" s="153" t="s">
        <v>682</v>
      </c>
      <c r="G44" s="503">
        <v>17500</v>
      </c>
      <c r="H44" s="879">
        <v>4403.41</v>
      </c>
      <c r="I44" s="880">
        <v>5000</v>
      </c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</row>
    <row r="45" spans="1:35" ht="24">
      <c r="A45" s="150" t="s">
        <v>49</v>
      </c>
      <c r="B45" s="151">
        <v>11</v>
      </c>
      <c r="C45" s="254" t="s">
        <v>19</v>
      </c>
      <c r="D45" s="151">
        <v>3293</v>
      </c>
      <c r="E45" s="227" t="s">
        <v>68</v>
      </c>
      <c r="F45" s="153" t="s">
        <v>682</v>
      </c>
      <c r="G45" s="503">
        <v>10000</v>
      </c>
      <c r="H45" s="879">
        <v>66087.31</v>
      </c>
      <c r="I45" s="880">
        <v>67000</v>
      </c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</row>
    <row r="46" spans="1:35" ht="24">
      <c r="A46" s="150" t="s">
        <v>49</v>
      </c>
      <c r="B46" s="151">
        <v>11</v>
      </c>
      <c r="C46" s="254" t="s">
        <v>19</v>
      </c>
      <c r="D46" s="151">
        <v>3294</v>
      </c>
      <c r="E46" s="227" t="s">
        <v>69</v>
      </c>
      <c r="F46" s="153" t="s">
        <v>682</v>
      </c>
      <c r="G46" s="503">
        <v>24000</v>
      </c>
      <c r="H46" s="879">
        <v>27105.72</v>
      </c>
      <c r="I46" s="880">
        <v>32000</v>
      </c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</row>
    <row r="47" spans="1:35" ht="24">
      <c r="A47" s="150" t="s">
        <v>49</v>
      </c>
      <c r="B47" s="151">
        <v>11</v>
      </c>
      <c r="C47" s="254" t="s">
        <v>19</v>
      </c>
      <c r="D47" s="151">
        <v>3295</v>
      </c>
      <c r="E47" s="227" t="s">
        <v>55</v>
      </c>
      <c r="F47" s="153" t="s">
        <v>682</v>
      </c>
      <c r="G47" s="503">
        <v>3000</v>
      </c>
      <c r="H47" s="879">
        <v>5</v>
      </c>
      <c r="I47" s="880">
        <v>5</v>
      </c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</row>
    <row r="48" spans="1:35" ht="36">
      <c r="A48" s="150" t="s">
        <v>49</v>
      </c>
      <c r="B48" s="151">
        <v>11</v>
      </c>
      <c r="C48" s="254" t="s">
        <v>19</v>
      </c>
      <c r="D48" s="151">
        <v>3296</v>
      </c>
      <c r="E48" s="227" t="s">
        <v>97</v>
      </c>
      <c r="F48" s="153" t="s">
        <v>682</v>
      </c>
      <c r="G48" s="503"/>
      <c r="H48" s="879"/>
      <c r="I48" s="880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</row>
    <row r="49" spans="1:35" ht="48">
      <c r="A49" s="150" t="s">
        <v>49</v>
      </c>
      <c r="B49" s="151">
        <v>11</v>
      </c>
      <c r="C49" s="254" t="s">
        <v>19</v>
      </c>
      <c r="D49" s="151">
        <v>3299</v>
      </c>
      <c r="E49" s="227" t="s">
        <v>57</v>
      </c>
      <c r="F49" s="153" t="s">
        <v>682</v>
      </c>
      <c r="G49" s="503">
        <v>20000</v>
      </c>
      <c r="H49" s="879">
        <v>53342.12</v>
      </c>
      <c r="I49" s="880">
        <v>55000</v>
      </c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</row>
    <row r="50" spans="1:35" ht="60">
      <c r="A50" s="150" t="s">
        <v>49</v>
      </c>
      <c r="B50" s="151">
        <v>11</v>
      </c>
      <c r="C50" s="254" t="s">
        <v>19</v>
      </c>
      <c r="D50" s="151">
        <v>3431</v>
      </c>
      <c r="E50" s="227" t="s">
        <v>70</v>
      </c>
      <c r="F50" s="153" t="s">
        <v>682</v>
      </c>
      <c r="G50" s="503">
        <v>28094</v>
      </c>
      <c r="H50" s="879">
        <v>27529.59</v>
      </c>
      <c r="I50" s="880">
        <v>30000</v>
      </c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</row>
    <row r="51" spans="1:35" ht="72">
      <c r="A51" s="150" t="s">
        <v>49</v>
      </c>
      <c r="B51" s="151">
        <v>11</v>
      </c>
      <c r="C51" s="254" t="s">
        <v>19</v>
      </c>
      <c r="D51" s="151">
        <v>3432</v>
      </c>
      <c r="E51" s="227" t="s">
        <v>71</v>
      </c>
      <c r="F51" s="153" t="s">
        <v>682</v>
      </c>
      <c r="G51" s="503">
        <v>1000</v>
      </c>
      <c r="H51" s="879">
        <v>999.18</v>
      </c>
      <c r="I51" s="880">
        <v>1200</v>
      </c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</row>
    <row r="52" spans="1:35" ht="48">
      <c r="A52" s="150" t="s">
        <v>49</v>
      </c>
      <c r="B52" s="151">
        <v>11</v>
      </c>
      <c r="C52" s="254" t="s">
        <v>19</v>
      </c>
      <c r="D52" s="151">
        <v>3433</v>
      </c>
      <c r="E52" s="227" t="s">
        <v>725</v>
      </c>
      <c r="F52" s="153" t="s">
        <v>682</v>
      </c>
      <c r="G52" s="503"/>
      <c r="H52" s="879">
        <v>6.05</v>
      </c>
      <c r="I52" s="880">
        <v>10</v>
      </c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</row>
    <row r="53" spans="1:35" ht="48">
      <c r="A53" s="150" t="s">
        <v>49</v>
      </c>
      <c r="B53" s="151">
        <v>11</v>
      </c>
      <c r="C53" s="254" t="s">
        <v>19</v>
      </c>
      <c r="D53" s="151">
        <v>3434</v>
      </c>
      <c r="E53" s="227" t="s">
        <v>94</v>
      </c>
      <c r="F53" s="153" t="s">
        <v>682</v>
      </c>
      <c r="G53" s="503"/>
      <c r="H53" s="879">
        <v>570</v>
      </c>
      <c r="I53" s="880">
        <v>608</v>
      </c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</row>
    <row r="54" spans="1:35" ht="36">
      <c r="A54" s="150" t="s">
        <v>49</v>
      </c>
      <c r="B54" s="151">
        <v>11</v>
      </c>
      <c r="C54" s="254" t="s">
        <v>19</v>
      </c>
      <c r="D54" s="151">
        <v>3522</v>
      </c>
      <c r="E54" s="227" t="s">
        <v>755</v>
      </c>
      <c r="F54" s="153" t="s">
        <v>682</v>
      </c>
      <c r="G54" s="503"/>
      <c r="H54" s="879"/>
      <c r="I54" s="880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</row>
    <row r="55" spans="1:35" ht="84">
      <c r="A55" s="150" t="s">
        <v>49</v>
      </c>
      <c r="B55" s="151">
        <v>11</v>
      </c>
      <c r="C55" s="254" t="s">
        <v>19</v>
      </c>
      <c r="D55" s="151">
        <v>3691</v>
      </c>
      <c r="E55" s="227" t="s">
        <v>36</v>
      </c>
      <c r="F55" s="153" t="s">
        <v>682</v>
      </c>
      <c r="G55" s="503"/>
      <c r="H55" s="879"/>
      <c r="I55" s="880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</row>
    <row r="56" spans="1:35" ht="84">
      <c r="A56" s="150" t="s">
        <v>49</v>
      </c>
      <c r="B56" s="151">
        <v>11</v>
      </c>
      <c r="C56" s="254" t="s">
        <v>19</v>
      </c>
      <c r="D56" s="151">
        <v>3692</v>
      </c>
      <c r="E56" s="227" t="s">
        <v>695</v>
      </c>
      <c r="F56" s="153" t="s">
        <v>682</v>
      </c>
      <c r="G56" s="503"/>
      <c r="H56" s="879"/>
      <c r="I56" s="880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</row>
    <row r="57" spans="1:35" ht="48">
      <c r="A57" s="150" t="s">
        <v>49</v>
      </c>
      <c r="B57" s="151">
        <v>11</v>
      </c>
      <c r="C57" s="254" t="s">
        <v>19</v>
      </c>
      <c r="D57" s="151">
        <v>3721</v>
      </c>
      <c r="E57" s="227" t="s">
        <v>84</v>
      </c>
      <c r="F57" s="153" t="s">
        <v>682</v>
      </c>
      <c r="G57" s="503"/>
      <c r="H57" s="879">
        <v>24000</v>
      </c>
      <c r="I57" s="880">
        <v>24000</v>
      </c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</row>
    <row r="58" spans="1:35" ht="36">
      <c r="A58" s="150" t="s">
        <v>49</v>
      </c>
      <c r="B58" s="151">
        <v>11</v>
      </c>
      <c r="C58" s="254" t="s">
        <v>19</v>
      </c>
      <c r="D58" s="151">
        <v>3811</v>
      </c>
      <c r="E58" s="227" t="s">
        <v>56</v>
      </c>
      <c r="F58" s="153" t="s">
        <v>682</v>
      </c>
      <c r="G58" s="503"/>
      <c r="H58" s="879"/>
      <c r="I58" s="880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</row>
    <row r="59" spans="1:35" ht="48">
      <c r="A59" s="150" t="s">
        <v>49</v>
      </c>
      <c r="B59" s="151">
        <v>11</v>
      </c>
      <c r="C59" s="254" t="s">
        <v>19</v>
      </c>
      <c r="D59" s="151">
        <v>383</v>
      </c>
      <c r="E59" s="227" t="s">
        <v>756</v>
      </c>
      <c r="F59" s="153" t="s">
        <v>682</v>
      </c>
      <c r="G59" s="503"/>
      <c r="H59" s="879"/>
      <c r="I59" s="880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</row>
    <row r="60" spans="1:35" ht="24">
      <c r="A60" s="150" t="s">
        <v>49</v>
      </c>
      <c r="B60" s="151">
        <v>11</v>
      </c>
      <c r="C60" s="254" t="s">
        <v>19</v>
      </c>
      <c r="D60" s="151">
        <v>4123</v>
      </c>
      <c r="E60" s="227" t="s">
        <v>92</v>
      </c>
      <c r="F60" s="153" t="s">
        <v>682</v>
      </c>
      <c r="G60" s="535"/>
      <c r="H60" s="879"/>
      <c r="I60" s="880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</row>
    <row r="61" spans="1:35" ht="60">
      <c r="A61" s="150" t="s">
        <v>49</v>
      </c>
      <c r="B61" s="151">
        <v>11</v>
      </c>
      <c r="C61" s="254" t="s">
        <v>19</v>
      </c>
      <c r="D61" s="151">
        <v>4124</v>
      </c>
      <c r="E61" s="227" t="s">
        <v>721</v>
      </c>
      <c r="F61" s="153" t="s">
        <v>682</v>
      </c>
      <c r="G61" s="882"/>
      <c r="H61" s="879"/>
      <c r="I61" s="880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</row>
    <row r="62" spans="1:35" ht="36">
      <c r="A62" s="150" t="s">
        <v>49</v>
      </c>
      <c r="B62" s="151">
        <v>11</v>
      </c>
      <c r="C62" s="254" t="s">
        <v>19</v>
      </c>
      <c r="D62" s="151">
        <v>4126</v>
      </c>
      <c r="E62" s="227" t="s">
        <v>757</v>
      </c>
      <c r="F62" s="153" t="s">
        <v>682</v>
      </c>
      <c r="G62" s="883"/>
      <c r="H62" s="879"/>
      <c r="I62" s="880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</row>
    <row r="63" spans="1:35" ht="24">
      <c r="A63" s="150" t="s">
        <v>49</v>
      </c>
      <c r="B63" s="151">
        <v>11</v>
      </c>
      <c r="C63" s="254" t="s">
        <v>19</v>
      </c>
      <c r="D63" s="151">
        <v>4212</v>
      </c>
      <c r="E63" s="227" t="s">
        <v>58</v>
      </c>
      <c r="F63" s="153" t="s">
        <v>682</v>
      </c>
      <c r="G63" s="883"/>
      <c r="H63" s="879"/>
      <c r="I63" s="880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</row>
    <row r="64" spans="1:35" ht="60">
      <c r="A64" s="150" t="s">
        <v>49</v>
      </c>
      <c r="B64" s="151">
        <v>11</v>
      </c>
      <c r="C64" s="254" t="s">
        <v>19</v>
      </c>
      <c r="D64" s="151">
        <v>4213</v>
      </c>
      <c r="E64" s="227" t="s">
        <v>758</v>
      </c>
      <c r="F64" s="153" t="s">
        <v>682</v>
      </c>
      <c r="G64" s="883"/>
      <c r="H64" s="879"/>
      <c r="I64" s="880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</row>
    <row r="65" spans="1:35" ht="36">
      <c r="A65" s="150" t="s">
        <v>49</v>
      </c>
      <c r="B65" s="151">
        <v>11</v>
      </c>
      <c r="C65" s="254" t="s">
        <v>19</v>
      </c>
      <c r="D65" s="151">
        <v>4214</v>
      </c>
      <c r="E65" s="227" t="s">
        <v>719</v>
      </c>
      <c r="F65" s="153" t="s">
        <v>682</v>
      </c>
      <c r="G65" s="883"/>
      <c r="H65" s="879"/>
      <c r="I65" s="880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</row>
    <row r="66" spans="1:35" ht="36">
      <c r="A66" s="150" t="s">
        <v>49</v>
      </c>
      <c r="B66" s="151">
        <v>11</v>
      </c>
      <c r="C66" s="254" t="s">
        <v>19</v>
      </c>
      <c r="D66" s="151">
        <v>4221</v>
      </c>
      <c r="E66" s="227" t="s">
        <v>63</v>
      </c>
      <c r="F66" s="153" t="s">
        <v>682</v>
      </c>
      <c r="G66" s="503">
        <v>127000</v>
      </c>
      <c r="H66" s="879">
        <v>23396.9</v>
      </c>
      <c r="I66" s="880">
        <v>23397</v>
      </c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</row>
    <row r="67" spans="1:35" ht="24">
      <c r="A67" s="150" t="s">
        <v>49</v>
      </c>
      <c r="B67" s="151">
        <v>11</v>
      </c>
      <c r="C67" s="254" t="s">
        <v>19</v>
      </c>
      <c r="D67" s="151">
        <v>4222</v>
      </c>
      <c r="E67" s="227" t="s">
        <v>72</v>
      </c>
      <c r="F67" s="153" t="s">
        <v>682</v>
      </c>
      <c r="G67" s="503">
        <v>20000</v>
      </c>
      <c r="H67" s="879"/>
      <c r="I67" s="880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</row>
    <row r="68" spans="1:35" ht="36">
      <c r="A68" s="150" t="s">
        <v>49</v>
      </c>
      <c r="B68" s="151">
        <v>11</v>
      </c>
      <c r="C68" s="254" t="s">
        <v>19</v>
      </c>
      <c r="D68" s="151">
        <v>4223</v>
      </c>
      <c r="E68" s="227" t="s">
        <v>90</v>
      </c>
      <c r="F68" s="153" t="s">
        <v>682</v>
      </c>
      <c r="G68" s="503"/>
      <c r="H68" s="879">
        <v>13165</v>
      </c>
      <c r="I68" s="880">
        <v>13165</v>
      </c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</row>
    <row r="69" spans="1:35" ht="36">
      <c r="A69" s="150" t="s">
        <v>49</v>
      </c>
      <c r="B69" s="151">
        <v>11</v>
      </c>
      <c r="C69" s="254" t="s">
        <v>19</v>
      </c>
      <c r="D69" s="151">
        <v>4224</v>
      </c>
      <c r="E69" s="227" t="s">
        <v>73</v>
      </c>
      <c r="F69" s="153" t="s">
        <v>682</v>
      </c>
      <c r="G69" s="503"/>
      <c r="H69" s="879"/>
      <c r="I69" s="880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</row>
    <row r="70" spans="1:35" ht="36">
      <c r="A70" s="150" t="s">
        <v>49</v>
      </c>
      <c r="B70" s="151">
        <v>11</v>
      </c>
      <c r="C70" s="254" t="s">
        <v>19</v>
      </c>
      <c r="D70" s="151">
        <v>4225</v>
      </c>
      <c r="E70" s="227" t="s">
        <v>85</v>
      </c>
      <c r="F70" s="153" t="s">
        <v>682</v>
      </c>
      <c r="G70" s="503"/>
      <c r="H70" s="879"/>
      <c r="I70" s="880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</row>
    <row r="71" spans="1:35" ht="24">
      <c r="A71" s="150" t="s">
        <v>49</v>
      </c>
      <c r="B71" s="151">
        <v>11</v>
      </c>
      <c r="C71" s="254" t="s">
        <v>19</v>
      </c>
      <c r="D71" s="151">
        <v>4226</v>
      </c>
      <c r="E71" s="227" t="s">
        <v>716</v>
      </c>
      <c r="F71" s="153" t="s">
        <v>682</v>
      </c>
      <c r="G71" s="503"/>
      <c r="H71" s="879"/>
      <c r="I71" s="880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</row>
    <row r="72" spans="1:35" ht="60">
      <c r="A72" s="150" t="s">
        <v>49</v>
      </c>
      <c r="B72" s="151">
        <v>11</v>
      </c>
      <c r="C72" s="254" t="s">
        <v>19</v>
      </c>
      <c r="D72" s="151">
        <v>4227</v>
      </c>
      <c r="E72" s="227" t="s">
        <v>93</v>
      </c>
      <c r="F72" s="153" t="s">
        <v>682</v>
      </c>
      <c r="G72" s="503"/>
      <c r="H72" s="879"/>
      <c r="I72" s="880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</row>
    <row r="73" spans="1:35" ht="48">
      <c r="A73" s="150" t="s">
        <v>49</v>
      </c>
      <c r="B73" s="151">
        <v>11</v>
      </c>
      <c r="C73" s="254" t="s">
        <v>19</v>
      </c>
      <c r="D73" s="151">
        <v>4231</v>
      </c>
      <c r="E73" s="227" t="s">
        <v>98</v>
      </c>
      <c r="F73" s="153" t="s">
        <v>682</v>
      </c>
      <c r="G73" s="883"/>
      <c r="H73" s="879"/>
      <c r="I73" s="880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</row>
    <row r="74" spans="1:35" ht="60">
      <c r="A74" s="150" t="s">
        <v>49</v>
      </c>
      <c r="B74" s="151">
        <v>11</v>
      </c>
      <c r="C74" s="254" t="s">
        <v>19</v>
      </c>
      <c r="D74" s="151">
        <v>4233</v>
      </c>
      <c r="E74" s="227" t="s">
        <v>759</v>
      </c>
      <c r="F74" s="153" t="s">
        <v>682</v>
      </c>
      <c r="G74" s="883"/>
      <c r="H74" s="879"/>
      <c r="I74" s="880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</row>
    <row r="75" spans="1:35" ht="24">
      <c r="A75" s="150" t="s">
        <v>49</v>
      </c>
      <c r="B75" s="151">
        <v>11</v>
      </c>
      <c r="C75" s="254" t="s">
        <v>19</v>
      </c>
      <c r="D75" s="151">
        <v>4241</v>
      </c>
      <c r="E75" s="227" t="s">
        <v>74</v>
      </c>
      <c r="F75" s="153" t="s">
        <v>682</v>
      </c>
      <c r="G75" s="503">
        <v>75000</v>
      </c>
      <c r="H75" s="879">
        <v>55522.87</v>
      </c>
      <c r="I75" s="880">
        <v>58000</v>
      </c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</row>
    <row r="76" spans="1:35" ht="48">
      <c r="A76" s="150" t="s">
        <v>49</v>
      </c>
      <c r="B76" s="151">
        <v>11</v>
      </c>
      <c r="C76" s="254" t="s">
        <v>19</v>
      </c>
      <c r="D76" s="151">
        <v>4244</v>
      </c>
      <c r="E76" s="227" t="s">
        <v>760</v>
      </c>
      <c r="F76" s="153" t="s">
        <v>682</v>
      </c>
      <c r="G76" s="883"/>
      <c r="H76" s="879"/>
      <c r="I76" s="880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</row>
    <row r="77" spans="1:35" ht="36">
      <c r="A77" s="150" t="s">
        <v>49</v>
      </c>
      <c r="B77" s="151">
        <v>11</v>
      </c>
      <c r="C77" s="254" t="s">
        <v>19</v>
      </c>
      <c r="D77" s="151">
        <v>4262</v>
      </c>
      <c r="E77" s="227" t="s">
        <v>86</v>
      </c>
      <c r="F77" s="153" t="s">
        <v>682</v>
      </c>
      <c r="G77" s="883"/>
      <c r="H77" s="879"/>
      <c r="I77" s="880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</row>
    <row r="78" spans="1:35" ht="60">
      <c r="A78" s="150" t="s">
        <v>49</v>
      </c>
      <c r="B78" s="151">
        <v>11</v>
      </c>
      <c r="C78" s="254" t="s">
        <v>19</v>
      </c>
      <c r="D78" s="151">
        <v>4264</v>
      </c>
      <c r="E78" s="227" t="s">
        <v>761</v>
      </c>
      <c r="F78" s="153" t="s">
        <v>682</v>
      </c>
      <c r="G78" s="883"/>
      <c r="H78" s="879"/>
      <c r="I78" s="880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</row>
    <row r="79" spans="1:35" ht="60">
      <c r="A79" s="150" t="s">
        <v>49</v>
      </c>
      <c r="B79" s="151">
        <v>11</v>
      </c>
      <c r="C79" s="254" t="s">
        <v>19</v>
      </c>
      <c r="D79" s="151">
        <v>4312</v>
      </c>
      <c r="E79" s="227" t="s">
        <v>684</v>
      </c>
      <c r="F79" s="153" t="s">
        <v>682</v>
      </c>
      <c r="G79" s="883"/>
      <c r="H79" s="879"/>
      <c r="I79" s="880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</row>
    <row r="80" spans="1:35" ht="48">
      <c r="A80" s="154" t="s">
        <v>49</v>
      </c>
      <c r="B80" s="155">
        <v>11</v>
      </c>
      <c r="C80" s="255" t="s">
        <v>19</v>
      </c>
      <c r="D80" s="155">
        <v>4511</v>
      </c>
      <c r="E80" s="228" t="s">
        <v>91</v>
      </c>
      <c r="F80" s="156" t="s">
        <v>682</v>
      </c>
      <c r="G80" s="883"/>
      <c r="H80" s="879"/>
      <c r="I80" s="880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</row>
    <row r="81" spans="1:35" ht="48.75" thickBot="1">
      <c r="A81" s="154" t="s">
        <v>49</v>
      </c>
      <c r="B81" s="155">
        <v>11</v>
      </c>
      <c r="C81" s="255" t="s">
        <v>19</v>
      </c>
      <c r="D81" s="155">
        <v>4521</v>
      </c>
      <c r="E81" s="228" t="s">
        <v>95</v>
      </c>
      <c r="F81" s="156" t="s">
        <v>682</v>
      </c>
      <c r="G81" s="883"/>
      <c r="H81" s="879"/>
      <c r="I81" s="880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</row>
    <row r="82" spans="1:35" s="161" customFormat="1" ht="24.75" thickBot="1">
      <c r="A82" s="157" t="s">
        <v>49</v>
      </c>
      <c r="B82" s="158">
        <v>11</v>
      </c>
      <c r="C82" s="256" t="s">
        <v>19</v>
      </c>
      <c r="D82" s="158"/>
      <c r="E82" s="229" t="s">
        <v>161</v>
      </c>
      <c r="F82" s="159" t="s">
        <v>682</v>
      </c>
      <c r="G82" s="881">
        <f>SUM(G15:G81)</f>
        <v>3215492</v>
      </c>
      <c r="H82" s="876">
        <f>SUM(H15:H81)</f>
        <v>3534577.31</v>
      </c>
      <c r="I82" s="877">
        <f>SUM(I15:I81)</f>
        <v>3688971</v>
      </c>
      <c r="J82" s="160"/>
      <c r="K82" s="160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60"/>
      <c r="Z82" s="160"/>
      <c r="AA82" s="160"/>
      <c r="AB82" s="160"/>
      <c r="AC82" s="160"/>
      <c r="AD82" s="160"/>
      <c r="AE82" s="160"/>
      <c r="AF82" s="160"/>
      <c r="AG82" s="160"/>
      <c r="AH82" s="160"/>
      <c r="AI82" s="160"/>
    </row>
    <row r="83" spans="1:35" s="161" customFormat="1" ht="24.75" thickBot="1">
      <c r="A83" s="157" t="s">
        <v>49</v>
      </c>
      <c r="B83" s="158">
        <v>11</v>
      </c>
      <c r="C83" s="256" t="s">
        <v>19</v>
      </c>
      <c r="D83" s="158">
        <v>3237</v>
      </c>
      <c r="E83" s="229" t="s">
        <v>62</v>
      </c>
      <c r="F83" s="159" t="s">
        <v>685</v>
      </c>
      <c r="G83" s="881">
        <v>28645</v>
      </c>
      <c r="H83" s="876">
        <v>51583.44</v>
      </c>
      <c r="I83" s="877">
        <v>51583</v>
      </c>
      <c r="J83" s="160"/>
      <c r="K83" s="160"/>
      <c r="L83" s="160"/>
      <c r="M83" s="160"/>
      <c r="N83" s="160"/>
      <c r="O83" s="160"/>
      <c r="P83" s="160"/>
      <c r="Q83" s="160"/>
      <c r="R83" s="160"/>
      <c r="S83" s="160"/>
      <c r="T83" s="160"/>
      <c r="U83" s="160"/>
      <c r="V83" s="160"/>
      <c r="W83" s="160"/>
      <c r="X83" s="160"/>
      <c r="Y83" s="160"/>
      <c r="Z83" s="160"/>
      <c r="AA83" s="160"/>
      <c r="AB83" s="160"/>
      <c r="AC83" s="160"/>
      <c r="AD83" s="160"/>
      <c r="AE83" s="160"/>
      <c r="AF83" s="160"/>
      <c r="AG83" s="160"/>
      <c r="AH83" s="160"/>
      <c r="AI83" s="160"/>
    </row>
    <row r="84" spans="1:35" s="161" customFormat="1" ht="48.75" thickBot="1">
      <c r="A84" s="157" t="s">
        <v>49</v>
      </c>
      <c r="B84" s="158">
        <v>11</v>
      </c>
      <c r="C84" s="256" t="s">
        <v>19</v>
      </c>
      <c r="D84" s="158">
        <v>3721</v>
      </c>
      <c r="E84" s="229" t="s">
        <v>84</v>
      </c>
      <c r="F84" s="159" t="s">
        <v>710</v>
      </c>
      <c r="G84" s="881"/>
      <c r="H84" s="876">
        <v>1981</v>
      </c>
      <c r="I84" s="877">
        <v>1981</v>
      </c>
      <c r="J84" s="160"/>
      <c r="K84" s="160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AG84" s="160"/>
      <c r="AH84" s="160"/>
      <c r="AI84" s="160"/>
    </row>
    <row r="85" spans="1:35" s="166" customFormat="1" ht="24.75" thickBot="1">
      <c r="A85" s="162" t="s">
        <v>49</v>
      </c>
      <c r="B85" s="163">
        <v>11</v>
      </c>
      <c r="C85" s="243" t="s">
        <v>19</v>
      </c>
      <c r="D85" s="163"/>
      <c r="E85" s="230" t="s">
        <v>708</v>
      </c>
      <c r="F85" s="164"/>
      <c r="G85" s="878">
        <f>G14+G82+G83+G84</f>
        <v>44408714</v>
      </c>
      <c r="H85" s="878">
        <f t="shared" ref="H85:I85" si="0">H14+H82+H83+H84</f>
        <v>43513769.979999997</v>
      </c>
      <c r="I85" s="878">
        <f t="shared" si="0"/>
        <v>48160000</v>
      </c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165"/>
      <c r="AI85" s="165"/>
    </row>
    <row r="86" spans="1:35" ht="24">
      <c r="A86" s="146" t="s">
        <v>49</v>
      </c>
      <c r="B86" s="147">
        <v>31</v>
      </c>
      <c r="C86" s="253" t="s">
        <v>22</v>
      </c>
      <c r="D86" s="147">
        <v>3111</v>
      </c>
      <c r="E86" s="226" t="s">
        <v>50</v>
      </c>
      <c r="F86" s="148" t="s">
        <v>686</v>
      </c>
      <c r="G86" s="570">
        <v>3000000</v>
      </c>
      <c r="H86" s="879">
        <v>2264909.27</v>
      </c>
      <c r="I86" s="880">
        <v>2665000</v>
      </c>
      <c r="J86" s="374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</row>
    <row r="87" spans="1:35" ht="24">
      <c r="A87" s="150" t="s">
        <v>49</v>
      </c>
      <c r="B87" s="151">
        <v>31</v>
      </c>
      <c r="C87" s="254" t="s">
        <v>22</v>
      </c>
      <c r="D87" s="147">
        <v>3112</v>
      </c>
      <c r="E87" s="226" t="s">
        <v>96</v>
      </c>
      <c r="F87" s="153" t="s">
        <v>686</v>
      </c>
      <c r="G87" s="883"/>
      <c r="H87" s="879"/>
      <c r="I87" s="880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</row>
    <row r="88" spans="1:35" ht="36">
      <c r="A88" s="150" t="s">
        <v>49</v>
      </c>
      <c r="B88" s="151">
        <v>31</v>
      </c>
      <c r="C88" s="254" t="s">
        <v>22</v>
      </c>
      <c r="D88" s="147">
        <v>3113</v>
      </c>
      <c r="E88" s="226" t="s">
        <v>751</v>
      </c>
      <c r="F88" s="153" t="s">
        <v>686</v>
      </c>
      <c r="G88" s="883"/>
      <c r="H88" s="879"/>
      <c r="I88" s="880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</row>
    <row r="89" spans="1:35" ht="36">
      <c r="A89" s="150" t="s">
        <v>49</v>
      </c>
      <c r="B89" s="151">
        <v>31</v>
      </c>
      <c r="C89" s="254" t="s">
        <v>22</v>
      </c>
      <c r="D89" s="147">
        <v>3114</v>
      </c>
      <c r="E89" s="226" t="s">
        <v>750</v>
      </c>
      <c r="F89" s="153" t="s">
        <v>686</v>
      </c>
      <c r="G89" s="883"/>
      <c r="H89" s="879"/>
      <c r="I89" s="880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</row>
    <row r="90" spans="1:35" ht="36">
      <c r="A90" s="150" t="s">
        <v>49</v>
      </c>
      <c r="B90" s="151">
        <v>31</v>
      </c>
      <c r="C90" s="254" t="s">
        <v>22</v>
      </c>
      <c r="D90" s="151">
        <v>3121</v>
      </c>
      <c r="E90" s="227" t="s">
        <v>51</v>
      </c>
      <c r="F90" s="153" t="s">
        <v>686</v>
      </c>
      <c r="G90" s="883">
        <v>615000</v>
      </c>
      <c r="H90" s="879">
        <f>68000+36600+606000</f>
        <v>710600</v>
      </c>
      <c r="I90" s="880">
        <v>750000</v>
      </c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</row>
    <row r="91" spans="1:35" ht="36">
      <c r="A91" s="150" t="s">
        <v>49</v>
      </c>
      <c r="B91" s="151">
        <v>31</v>
      </c>
      <c r="C91" s="254" t="s">
        <v>22</v>
      </c>
      <c r="D91" s="151">
        <v>3131</v>
      </c>
      <c r="E91" s="227" t="s">
        <v>752</v>
      </c>
      <c r="F91" s="153" t="s">
        <v>686</v>
      </c>
      <c r="G91" s="883"/>
      <c r="H91" s="879"/>
      <c r="I91" s="880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</row>
    <row r="92" spans="1:35" ht="48">
      <c r="A92" s="150" t="s">
        <v>49</v>
      </c>
      <c r="B92" s="151">
        <v>31</v>
      </c>
      <c r="C92" s="254" t="s">
        <v>22</v>
      </c>
      <c r="D92" s="151">
        <v>3132</v>
      </c>
      <c r="E92" s="227" t="s">
        <v>52</v>
      </c>
      <c r="F92" s="153" t="s">
        <v>686</v>
      </c>
      <c r="G92" s="503">
        <v>495000</v>
      </c>
      <c r="H92" s="879">
        <v>370446.9</v>
      </c>
      <c r="I92" s="880">
        <v>439725</v>
      </c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</row>
    <row r="93" spans="1:35" ht="72">
      <c r="A93" s="150" t="s">
        <v>49</v>
      </c>
      <c r="B93" s="151">
        <v>31</v>
      </c>
      <c r="C93" s="254" t="s">
        <v>22</v>
      </c>
      <c r="D93" s="151">
        <v>3133</v>
      </c>
      <c r="E93" s="227" t="s">
        <v>753</v>
      </c>
      <c r="F93" s="153" t="s">
        <v>686</v>
      </c>
      <c r="G93" s="883"/>
      <c r="H93" s="879"/>
      <c r="I93" s="880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</row>
    <row r="94" spans="1:35" ht="24">
      <c r="A94" s="150" t="s">
        <v>49</v>
      </c>
      <c r="B94" s="151">
        <v>31</v>
      </c>
      <c r="C94" s="254" t="s">
        <v>22</v>
      </c>
      <c r="D94" s="151">
        <v>3211</v>
      </c>
      <c r="E94" s="855" t="s">
        <v>60</v>
      </c>
      <c r="F94" s="153" t="s">
        <v>686</v>
      </c>
      <c r="G94" s="503">
        <v>100000</v>
      </c>
      <c r="H94" s="879">
        <f>2200+1132.1+1514.63+1547.23+8854+1600+475.04</f>
        <v>17323</v>
      </c>
      <c r="I94" s="880">
        <v>25000</v>
      </c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</row>
    <row r="95" spans="1:35" ht="60">
      <c r="A95" s="150" t="s">
        <v>49</v>
      </c>
      <c r="B95" s="151">
        <v>31</v>
      </c>
      <c r="C95" s="254" t="s">
        <v>22</v>
      </c>
      <c r="D95" s="151">
        <v>3212</v>
      </c>
      <c r="E95" s="227" t="s">
        <v>754</v>
      </c>
      <c r="F95" s="153" t="s">
        <v>686</v>
      </c>
      <c r="G95" s="503"/>
      <c r="H95" s="879"/>
      <c r="I95" s="880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</row>
    <row r="96" spans="1:35" ht="36">
      <c r="A96" s="150" t="s">
        <v>49</v>
      </c>
      <c r="B96" s="151">
        <v>31</v>
      </c>
      <c r="C96" s="254" t="s">
        <v>22</v>
      </c>
      <c r="D96" s="151">
        <v>3213</v>
      </c>
      <c r="E96" s="227" t="s">
        <v>64</v>
      </c>
      <c r="F96" s="153" t="s">
        <v>686</v>
      </c>
      <c r="G96" s="503">
        <v>10000</v>
      </c>
      <c r="H96" s="879">
        <v>532</v>
      </c>
      <c r="I96" s="880">
        <v>1500</v>
      </c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</row>
    <row r="97" spans="1:35" ht="48">
      <c r="A97" s="150" t="s">
        <v>49</v>
      </c>
      <c r="B97" s="151">
        <v>31</v>
      </c>
      <c r="C97" s="254" t="s">
        <v>22</v>
      </c>
      <c r="D97" s="151">
        <v>3214</v>
      </c>
      <c r="E97" s="227" t="s">
        <v>75</v>
      </c>
      <c r="F97" s="153" t="s">
        <v>686</v>
      </c>
      <c r="G97" s="883"/>
      <c r="H97" s="879"/>
      <c r="I97" s="880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</row>
    <row r="98" spans="1:35" ht="60">
      <c r="A98" s="150" t="s">
        <v>49</v>
      </c>
      <c r="B98" s="151">
        <v>31</v>
      </c>
      <c r="C98" s="254" t="s">
        <v>22</v>
      </c>
      <c r="D98" s="151">
        <v>3221</v>
      </c>
      <c r="E98" s="227" t="s">
        <v>65</v>
      </c>
      <c r="F98" s="153" t="s">
        <v>686</v>
      </c>
      <c r="G98" s="503">
        <v>10000</v>
      </c>
      <c r="H98" s="879">
        <f>7100.5</f>
        <v>7100.5</v>
      </c>
      <c r="I98" s="880">
        <v>15000</v>
      </c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</row>
    <row r="99" spans="1:35" ht="24">
      <c r="A99" s="150" t="s">
        <v>49</v>
      </c>
      <c r="B99" s="151">
        <v>31</v>
      </c>
      <c r="C99" s="254" t="s">
        <v>22</v>
      </c>
      <c r="D99" s="151">
        <v>3222</v>
      </c>
      <c r="E99" s="227" t="s">
        <v>76</v>
      </c>
      <c r="F99" s="153" t="s">
        <v>686</v>
      </c>
      <c r="G99" s="503"/>
      <c r="H99" s="879"/>
      <c r="I99" s="880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</row>
    <row r="100" spans="1:35" ht="24">
      <c r="A100" s="150" t="s">
        <v>49</v>
      </c>
      <c r="B100" s="151">
        <v>31</v>
      </c>
      <c r="C100" s="254" t="s">
        <v>22</v>
      </c>
      <c r="D100" s="151">
        <v>3223</v>
      </c>
      <c r="E100" s="227" t="s">
        <v>77</v>
      </c>
      <c r="F100" s="153" t="s">
        <v>686</v>
      </c>
      <c r="G100" s="503"/>
      <c r="H100" s="879"/>
      <c r="I100" s="880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</row>
    <row r="101" spans="1:35" ht="60">
      <c r="A101" s="150" t="s">
        <v>49</v>
      </c>
      <c r="B101" s="151">
        <v>31</v>
      </c>
      <c r="C101" s="254" t="s">
        <v>22</v>
      </c>
      <c r="D101" s="151">
        <v>3224</v>
      </c>
      <c r="E101" s="227" t="s">
        <v>61</v>
      </c>
      <c r="F101" s="153" t="s">
        <v>686</v>
      </c>
      <c r="G101" s="503"/>
      <c r="H101" s="879"/>
      <c r="I101" s="880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</row>
    <row r="102" spans="1:35" ht="36">
      <c r="A102" s="150" t="s">
        <v>49</v>
      </c>
      <c r="B102" s="151">
        <v>31</v>
      </c>
      <c r="C102" s="254" t="s">
        <v>22</v>
      </c>
      <c r="D102" s="151">
        <v>3225</v>
      </c>
      <c r="E102" s="227" t="s">
        <v>78</v>
      </c>
      <c r="F102" s="153" t="s">
        <v>686</v>
      </c>
      <c r="G102" s="503">
        <v>10000</v>
      </c>
      <c r="H102" s="879"/>
      <c r="I102" s="880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</row>
    <row r="103" spans="1:35" ht="60">
      <c r="A103" s="150" t="s">
        <v>49</v>
      </c>
      <c r="B103" s="151">
        <v>31</v>
      </c>
      <c r="C103" s="254" t="s">
        <v>22</v>
      </c>
      <c r="D103" s="151">
        <v>3227</v>
      </c>
      <c r="E103" s="227" t="s">
        <v>89</v>
      </c>
      <c r="F103" s="153" t="s">
        <v>686</v>
      </c>
      <c r="G103" s="503"/>
      <c r="H103" s="879"/>
      <c r="I103" s="880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</row>
    <row r="104" spans="1:35" ht="48">
      <c r="A104" s="150" t="s">
        <v>49</v>
      </c>
      <c r="B104" s="151">
        <v>31</v>
      </c>
      <c r="C104" s="254" t="s">
        <v>22</v>
      </c>
      <c r="D104" s="151">
        <v>3231</v>
      </c>
      <c r="E104" s="227" t="s">
        <v>79</v>
      </c>
      <c r="F104" s="153" t="s">
        <v>686</v>
      </c>
      <c r="G104" s="503"/>
      <c r="H104" s="879"/>
      <c r="I104" s="880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49"/>
      <c r="AH104" s="149"/>
      <c r="AI104" s="149"/>
    </row>
    <row r="105" spans="1:35" ht="48">
      <c r="A105" s="150" t="s">
        <v>49</v>
      </c>
      <c r="B105" s="151">
        <v>31</v>
      </c>
      <c r="C105" s="254" t="s">
        <v>22</v>
      </c>
      <c r="D105" s="151">
        <v>3232</v>
      </c>
      <c r="E105" s="227" t="s">
        <v>80</v>
      </c>
      <c r="F105" s="153" t="s">
        <v>686</v>
      </c>
      <c r="G105" s="503">
        <v>55000</v>
      </c>
      <c r="H105" s="879">
        <v>3675</v>
      </c>
      <c r="I105" s="880">
        <v>10000</v>
      </c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49"/>
      <c r="AG105" s="149"/>
      <c r="AH105" s="149"/>
      <c r="AI105" s="149"/>
    </row>
    <row r="106" spans="1:35" ht="36">
      <c r="A106" s="150" t="s">
        <v>49</v>
      </c>
      <c r="B106" s="151">
        <v>31</v>
      </c>
      <c r="C106" s="254" t="s">
        <v>22</v>
      </c>
      <c r="D106" s="151">
        <v>3233</v>
      </c>
      <c r="E106" s="227" t="s">
        <v>81</v>
      </c>
      <c r="F106" s="153" t="s">
        <v>686</v>
      </c>
      <c r="G106" s="503">
        <v>20000</v>
      </c>
      <c r="H106" s="879">
        <f>27570.63+1001.08</f>
        <v>28571.710000000003</v>
      </c>
      <c r="I106" s="880">
        <v>45000</v>
      </c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49"/>
    </row>
    <row r="107" spans="1:35" ht="24">
      <c r="A107" s="150" t="s">
        <v>49</v>
      </c>
      <c r="B107" s="151">
        <v>31</v>
      </c>
      <c r="C107" s="254" t="s">
        <v>22</v>
      </c>
      <c r="D107" s="151">
        <v>3234</v>
      </c>
      <c r="E107" s="227" t="s">
        <v>87</v>
      </c>
      <c r="F107" s="153" t="s">
        <v>686</v>
      </c>
      <c r="G107" s="503"/>
      <c r="H107" s="879"/>
      <c r="I107" s="880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/>
      <c r="AF107" s="149"/>
      <c r="AG107" s="149"/>
      <c r="AH107" s="149"/>
      <c r="AI107" s="149"/>
    </row>
    <row r="108" spans="1:35" ht="24">
      <c r="A108" s="150" t="s">
        <v>49</v>
      </c>
      <c r="B108" s="151">
        <v>31</v>
      </c>
      <c r="C108" s="254" t="s">
        <v>22</v>
      </c>
      <c r="D108" s="151">
        <v>3235</v>
      </c>
      <c r="E108" s="227" t="s">
        <v>88</v>
      </c>
      <c r="F108" s="153" t="s">
        <v>686</v>
      </c>
      <c r="G108" s="503">
        <v>10000</v>
      </c>
      <c r="H108" s="879">
        <v>5700</v>
      </c>
      <c r="I108" s="880">
        <v>10000</v>
      </c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  <c r="AE108" s="149"/>
      <c r="AF108" s="149"/>
      <c r="AG108" s="149"/>
      <c r="AH108" s="149"/>
      <c r="AI108" s="149"/>
    </row>
    <row r="109" spans="1:35" ht="48">
      <c r="A109" s="150" t="s">
        <v>49</v>
      </c>
      <c r="B109" s="151">
        <v>31</v>
      </c>
      <c r="C109" s="254" t="s">
        <v>22</v>
      </c>
      <c r="D109" s="151">
        <v>3236</v>
      </c>
      <c r="E109" s="227" t="s">
        <v>54</v>
      </c>
      <c r="F109" s="153" t="s">
        <v>686</v>
      </c>
      <c r="G109" s="503"/>
      <c r="H109" s="879"/>
      <c r="I109" s="880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</row>
    <row r="110" spans="1:35" ht="36">
      <c r="A110" s="150" t="s">
        <v>49</v>
      </c>
      <c r="B110" s="151">
        <v>31</v>
      </c>
      <c r="C110" s="254" t="s">
        <v>22</v>
      </c>
      <c r="D110" s="151">
        <v>3237</v>
      </c>
      <c r="E110" s="227" t="s">
        <v>62</v>
      </c>
      <c r="F110" s="153" t="s">
        <v>686</v>
      </c>
      <c r="G110" s="503">
        <v>50000</v>
      </c>
      <c r="H110" s="879">
        <f>376.25+123302.51+5073.1+357.2+4376.25</f>
        <v>133485.31</v>
      </c>
      <c r="I110" s="880">
        <v>150000</v>
      </c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</row>
    <row r="111" spans="1:35" ht="24">
      <c r="A111" s="150" t="s">
        <v>49</v>
      </c>
      <c r="B111" s="151">
        <v>31</v>
      </c>
      <c r="C111" s="254" t="s">
        <v>22</v>
      </c>
      <c r="D111" s="151">
        <v>3238</v>
      </c>
      <c r="E111" s="227" t="s">
        <v>82</v>
      </c>
      <c r="F111" s="153" t="s">
        <v>686</v>
      </c>
      <c r="G111" s="503"/>
      <c r="H111" s="879"/>
      <c r="I111" s="880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49"/>
      <c r="AG111" s="149"/>
      <c r="AH111" s="149"/>
      <c r="AI111" s="149"/>
    </row>
    <row r="112" spans="1:35" ht="24">
      <c r="A112" s="150" t="s">
        <v>49</v>
      </c>
      <c r="B112" s="151">
        <v>31</v>
      </c>
      <c r="C112" s="254" t="s">
        <v>22</v>
      </c>
      <c r="D112" s="151">
        <v>3239</v>
      </c>
      <c r="E112" s="227" t="s">
        <v>66</v>
      </c>
      <c r="F112" s="153" t="s">
        <v>686</v>
      </c>
      <c r="G112" s="503">
        <v>10000</v>
      </c>
      <c r="H112" s="879">
        <f>3750+8750</f>
        <v>12500</v>
      </c>
      <c r="I112" s="880">
        <v>20000</v>
      </c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49"/>
      <c r="AG112" s="149"/>
      <c r="AH112" s="149"/>
      <c r="AI112" s="149"/>
    </row>
    <row r="113" spans="1:35" ht="60">
      <c r="A113" s="150" t="s">
        <v>49</v>
      </c>
      <c r="B113" s="151">
        <v>31</v>
      </c>
      <c r="C113" s="254" t="s">
        <v>22</v>
      </c>
      <c r="D113" s="151">
        <v>3241</v>
      </c>
      <c r="E113" s="227" t="s">
        <v>67</v>
      </c>
      <c r="F113" s="153" t="s">
        <v>686</v>
      </c>
      <c r="G113" s="503">
        <v>5000</v>
      </c>
      <c r="H113" s="879">
        <f>11133.49+8162.59</f>
        <v>19296.080000000002</v>
      </c>
      <c r="I113" s="880">
        <v>25000</v>
      </c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</row>
    <row r="114" spans="1:35" ht="60">
      <c r="A114" s="150" t="s">
        <v>49</v>
      </c>
      <c r="B114" s="151">
        <v>31</v>
      </c>
      <c r="C114" s="254" t="s">
        <v>22</v>
      </c>
      <c r="D114" s="151">
        <v>3291</v>
      </c>
      <c r="E114" s="227" t="s">
        <v>713</v>
      </c>
      <c r="F114" s="153" t="s">
        <v>686</v>
      </c>
      <c r="G114" s="503"/>
      <c r="H114" s="879"/>
      <c r="I114" s="880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  <c r="AE114" s="149"/>
      <c r="AF114" s="149"/>
      <c r="AG114" s="149"/>
      <c r="AH114" s="149"/>
      <c r="AI114" s="149"/>
    </row>
    <row r="115" spans="1:35" ht="24">
      <c r="A115" s="150" t="s">
        <v>49</v>
      </c>
      <c r="B115" s="151">
        <v>31</v>
      </c>
      <c r="C115" s="254" t="s">
        <v>22</v>
      </c>
      <c r="D115" s="151">
        <v>3292</v>
      </c>
      <c r="E115" s="227" t="s">
        <v>59</v>
      </c>
      <c r="F115" s="153" t="s">
        <v>686</v>
      </c>
      <c r="G115" s="503"/>
      <c r="H115" s="879">
        <f>13139.41</f>
        <v>13139.41</v>
      </c>
      <c r="I115" s="880">
        <v>15000</v>
      </c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</row>
    <row r="116" spans="1:35" ht="24">
      <c r="A116" s="150" t="s">
        <v>49</v>
      </c>
      <c r="B116" s="151">
        <v>31</v>
      </c>
      <c r="C116" s="254" t="s">
        <v>22</v>
      </c>
      <c r="D116" s="151">
        <v>3293</v>
      </c>
      <c r="E116" s="227" t="s">
        <v>68</v>
      </c>
      <c r="F116" s="153" t="s">
        <v>686</v>
      </c>
      <c r="G116" s="503">
        <v>90000</v>
      </c>
      <c r="H116" s="879">
        <v>21122.74</v>
      </c>
      <c r="I116" s="880">
        <v>30000</v>
      </c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</row>
    <row r="117" spans="1:35" ht="24">
      <c r="A117" s="150" t="s">
        <v>49</v>
      </c>
      <c r="B117" s="151">
        <v>31</v>
      </c>
      <c r="C117" s="254" t="s">
        <v>22</v>
      </c>
      <c r="D117" s="151">
        <v>3294</v>
      </c>
      <c r="E117" s="227" t="s">
        <v>69</v>
      </c>
      <c r="F117" s="153" t="s">
        <v>686</v>
      </c>
      <c r="G117" s="503"/>
      <c r="H117" s="879"/>
      <c r="I117" s="880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</row>
    <row r="118" spans="1:35" ht="24">
      <c r="A118" s="150" t="s">
        <v>49</v>
      </c>
      <c r="B118" s="151">
        <v>31</v>
      </c>
      <c r="C118" s="254" t="s">
        <v>22</v>
      </c>
      <c r="D118" s="151">
        <v>3295</v>
      </c>
      <c r="E118" s="227" t="s">
        <v>55</v>
      </c>
      <c r="F118" s="153" t="s">
        <v>686</v>
      </c>
      <c r="G118" s="503"/>
      <c r="H118" s="879"/>
      <c r="I118" s="880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</row>
    <row r="119" spans="1:35" ht="36">
      <c r="A119" s="150" t="s">
        <v>49</v>
      </c>
      <c r="B119" s="151">
        <v>31</v>
      </c>
      <c r="C119" s="254" t="s">
        <v>22</v>
      </c>
      <c r="D119" s="151">
        <v>3296</v>
      </c>
      <c r="E119" s="227" t="s">
        <v>97</v>
      </c>
      <c r="F119" s="153" t="s">
        <v>686</v>
      </c>
      <c r="G119" s="503"/>
      <c r="H119" s="879"/>
      <c r="I119" s="880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49"/>
    </row>
    <row r="120" spans="1:35" ht="48">
      <c r="A120" s="150" t="s">
        <v>49</v>
      </c>
      <c r="B120" s="151">
        <v>31</v>
      </c>
      <c r="C120" s="254" t="s">
        <v>22</v>
      </c>
      <c r="D120" s="151">
        <v>3299</v>
      </c>
      <c r="E120" s="227" t="s">
        <v>57</v>
      </c>
      <c r="F120" s="153" t="s">
        <v>686</v>
      </c>
      <c r="G120" s="503"/>
      <c r="H120" s="879">
        <f>9624.57+24325.47</f>
        <v>33950.04</v>
      </c>
      <c r="I120" s="880">
        <v>50000</v>
      </c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  <c r="AF120" s="149"/>
      <c r="AG120" s="149"/>
      <c r="AH120" s="149"/>
      <c r="AI120" s="149"/>
    </row>
    <row r="121" spans="1:35" ht="60">
      <c r="A121" s="150" t="s">
        <v>49</v>
      </c>
      <c r="B121" s="151">
        <v>31</v>
      </c>
      <c r="C121" s="254" t="s">
        <v>22</v>
      </c>
      <c r="D121" s="151">
        <v>3431</v>
      </c>
      <c r="E121" s="227" t="s">
        <v>70</v>
      </c>
      <c r="F121" s="153" t="s">
        <v>686</v>
      </c>
      <c r="G121" s="503">
        <v>1000</v>
      </c>
      <c r="H121" s="879">
        <v>132.05000000000001</v>
      </c>
      <c r="I121" s="880">
        <v>200</v>
      </c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  <c r="AE121" s="149"/>
      <c r="AF121" s="149"/>
      <c r="AG121" s="149"/>
      <c r="AH121" s="149"/>
      <c r="AI121" s="149"/>
    </row>
    <row r="122" spans="1:35" ht="72">
      <c r="A122" s="150" t="s">
        <v>49</v>
      </c>
      <c r="B122" s="151">
        <v>31</v>
      </c>
      <c r="C122" s="254" t="s">
        <v>22</v>
      </c>
      <c r="D122" s="151">
        <v>3432</v>
      </c>
      <c r="E122" s="227" t="s">
        <v>71</v>
      </c>
      <c r="F122" s="153" t="s">
        <v>686</v>
      </c>
      <c r="G122" s="503">
        <v>500</v>
      </c>
      <c r="H122" s="879">
        <v>86.33</v>
      </c>
      <c r="I122" s="880">
        <v>100</v>
      </c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/>
      <c r="AF122" s="149"/>
      <c r="AG122" s="149"/>
      <c r="AH122" s="149"/>
      <c r="AI122" s="149"/>
    </row>
    <row r="123" spans="1:35" ht="48">
      <c r="A123" s="150" t="s">
        <v>49</v>
      </c>
      <c r="B123" s="151">
        <v>31</v>
      </c>
      <c r="C123" s="254" t="s">
        <v>22</v>
      </c>
      <c r="D123" s="151">
        <v>3433</v>
      </c>
      <c r="E123" s="227" t="s">
        <v>725</v>
      </c>
      <c r="F123" s="153" t="s">
        <v>686</v>
      </c>
      <c r="G123" s="503"/>
      <c r="H123" s="879"/>
      <c r="I123" s="880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  <c r="AE123" s="149"/>
      <c r="AF123" s="149"/>
      <c r="AG123" s="149"/>
      <c r="AH123" s="149"/>
      <c r="AI123" s="149"/>
    </row>
    <row r="124" spans="1:35" ht="48">
      <c r="A124" s="150" t="s">
        <v>49</v>
      </c>
      <c r="B124" s="151">
        <v>31</v>
      </c>
      <c r="C124" s="254" t="s">
        <v>22</v>
      </c>
      <c r="D124" s="151">
        <v>3434</v>
      </c>
      <c r="E124" s="227" t="s">
        <v>94</v>
      </c>
      <c r="F124" s="153" t="s">
        <v>686</v>
      </c>
      <c r="G124" s="503"/>
      <c r="H124" s="879"/>
      <c r="I124" s="880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  <c r="AE124" s="149"/>
      <c r="AF124" s="149"/>
      <c r="AG124" s="149"/>
      <c r="AH124" s="149"/>
      <c r="AI124" s="149"/>
    </row>
    <row r="125" spans="1:35" ht="36">
      <c r="A125" s="150" t="s">
        <v>49</v>
      </c>
      <c r="B125" s="151">
        <v>31</v>
      </c>
      <c r="C125" s="254" t="s">
        <v>22</v>
      </c>
      <c r="D125" s="151">
        <v>3522</v>
      </c>
      <c r="E125" s="227" t="s">
        <v>755</v>
      </c>
      <c r="F125" s="153" t="s">
        <v>686</v>
      </c>
      <c r="G125" s="883"/>
      <c r="H125" s="879"/>
      <c r="I125" s="880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  <c r="AE125" s="149"/>
      <c r="AF125" s="149"/>
      <c r="AG125" s="149"/>
      <c r="AH125" s="149"/>
      <c r="AI125" s="149"/>
    </row>
    <row r="126" spans="1:35" ht="84">
      <c r="A126" s="150" t="s">
        <v>49</v>
      </c>
      <c r="B126" s="151">
        <v>31</v>
      </c>
      <c r="C126" s="254" t="s">
        <v>22</v>
      </c>
      <c r="D126" s="151">
        <v>3691</v>
      </c>
      <c r="E126" s="227" t="s">
        <v>36</v>
      </c>
      <c r="F126" s="153" t="s">
        <v>686</v>
      </c>
      <c r="G126" s="883"/>
      <c r="H126" s="879">
        <v>33000</v>
      </c>
      <c r="I126" s="880">
        <v>33000</v>
      </c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  <c r="W126" s="149"/>
      <c r="X126" s="149"/>
      <c r="Y126" s="149"/>
      <c r="Z126" s="149"/>
      <c r="AA126" s="149"/>
      <c r="AB126" s="149"/>
      <c r="AC126" s="149"/>
      <c r="AD126" s="149"/>
      <c r="AE126" s="149"/>
      <c r="AF126" s="149"/>
      <c r="AG126" s="149"/>
      <c r="AH126" s="149"/>
      <c r="AI126" s="149"/>
    </row>
    <row r="127" spans="1:35" ht="84">
      <c r="A127" s="150" t="s">
        <v>49</v>
      </c>
      <c r="B127" s="151">
        <v>31</v>
      </c>
      <c r="C127" s="254" t="s">
        <v>22</v>
      </c>
      <c r="D127" s="151">
        <v>3692</v>
      </c>
      <c r="E127" s="227" t="s">
        <v>695</v>
      </c>
      <c r="F127" s="153" t="s">
        <v>686</v>
      </c>
      <c r="G127" s="883"/>
      <c r="H127" s="879"/>
      <c r="I127" s="880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  <c r="AE127" s="149"/>
      <c r="AF127" s="149"/>
      <c r="AG127" s="149"/>
      <c r="AH127" s="149"/>
      <c r="AI127" s="149"/>
    </row>
    <row r="128" spans="1:35" ht="48">
      <c r="A128" s="150" t="s">
        <v>49</v>
      </c>
      <c r="B128" s="151">
        <v>31</v>
      </c>
      <c r="C128" s="254" t="s">
        <v>22</v>
      </c>
      <c r="D128" s="151">
        <v>3721</v>
      </c>
      <c r="E128" s="227" t="s">
        <v>84</v>
      </c>
      <c r="F128" s="153" t="s">
        <v>686</v>
      </c>
      <c r="G128" s="883"/>
      <c r="H128" s="879"/>
      <c r="I128" s="880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  <c r="AE128" s="149"/>
      <c r="AF128" s="149"/>
      <c r="AG128" s="149"/>
      <c r="AH128" s="149"/>
      <c r="AI128" s="149"/>
    </row>
    <row r="129" spans="1:35" ht="36">
      <c r="A129" s="150" t="s">
        <v>49</v>
      </c>
      <c r="B129" s="151">
        <v>31</v>
      </c>
      <c r="C129" s="254" t="s">
        <v>22</v>
      </c>
      <c r="D129" s="151">
        <v>3811</v>
      </c>
      <c r="E129" s="227" t="s">
        <v>56</v>
      </c>
      <c r="F129" s="153" t="s">
        <v>686</v>
      </c>
      <c r="G129" s="503">
        <v>15000</v>
      </c>
      <c r="H129" s="879">
        <v>26129.09</v>
      </c>
      <c r="I129" s="880">
        <v>26129</v>
      </c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149"/>
      <c r="AE129" s="149"/>
      <c r="AF129" s="149"/>
      <c r="AG129" s="149"/>
      <c r="AH129" s="149"/>
      <c r="AI129" s="149"/>
    </row>
    <row r="130" spans="1:35" ht="48">
      <c r="A130" s="150" t="s">
        <v>49</v>
      </c>
      <c r="B130" s="151">
        <v>31</v>
      </c>
      <c r="C130" s="254" t="s">
        <v>22</v>
      </c>
      <c r="D130" s="151">
        <v>383</v>
      </c>
      <c r="E130" s="227" t="s">
        <v>756</v>
      </c>
      <c r="F130" s="153" t="s">
        <v>686</v>
      </c>
      <c r="G130" s="883"/>
      <c r="H130" s="879"/>
      <c r="I130" s="880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  <c r="Y130" s="149"/>
      <c r="Z130" s="149"/>
      <c r="AA130" s="149"/>
      <c r="AB130" s="149"/>
      <c r="AC130" s="149"/>
      <c r="AD130" s="149"/>
      <c r="AE130" s="149"/>
      <c r="AF130" s="149"/>
      <c r="AG130" s="149"/>
      <c r="AH130" s="149"/>
      <c r="AI130" s="149"/>
    </row>
    <row r="131" spans="1:35" ht="24">
      <c r="A131" s="150" t="s">
        <v>49</v>
      </c>
      <c r="B131" s="151">
        <v>31</v>
      </c>
      <c r="C131" s="254" t="s">
        <v>22</v>
      </c>
      <c r="D131" s="151">
        <v>4123</v>
      </c>
      <c r="E131" s="227" t="s">
        <v>92</v>
      </c>
      <c r="F131" s="153" t="s">
        <v>686</v>
      </c>
      <c r="G131" s="883"/>
      <c r="H131" s="879"/>
      <c r="I131" s="880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  <c r="Y131" s="149"/>
      <c r="Z131" s="149"/>
      <c r="AA131" s="149"/>
      <c r="AB131" s="149"/>
      <c r="AC131" s="149"/>
      <c r="AD131" s="149"/>
      <c r="AE131" s="149"/>
      <c r="AF131" s="149"/>
      <c r="AG131" s="149"/>
      <c r="AH131" s="149"/>
      <c r="AI131" s="149"/>
    </row>
    <row r="132" spans="1:35" ht="60">
      <c r="A132" s="150" t="s">
        <v>49</v>
      </c>
      <c r="B132" s="151">
        <v>31</v>
      </c>
      <c r="C132" s="254" t="s">
        <v>22</v>
      </c>
      <c r="D132" s="151">
        <v>4124</v>
      </c>
      <c r="E132" s="227" t="s">
        <v>721</v>
      </c>
      <c r="F132" s="153" t="s">
        <v>686</v>
      </c>
      <c r="G132" s="883"/>
      <c r="H132" s="879"/>
      <c r="I132" s="880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  <c r="AE132" s="149"/>
      <c r="AF132" s="149"/>
      <c r="AG132" s="149"/>
      <c r="AH132" s="149"/>
      <c r="AI132" s="149"/>
    </row>
    <row r="133" spans="1:35" ht="36">
      <c r="A133" s="150" t="s">
        <v>49</v>
      </c>
      <c r="B133" s="151">
        <v>31</v>
      </c>
      <c r="C133" s="254" t="s">
        <v>22</v>
      </c>
      <c r="D133" s="151">
        <v>4126</v>
      </c>
      <c r="E133" s="227" t="s">
        <v>757</v>
      </c>
      <c r="F133" s="153" t="s">
        <v>686</v>
      </c>
      <c r="G133" s="883"/>
      <c r="H133" s="879"/>
      <c r="I133" s="880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  <c r="AG133" s="149"/>
      <c r="AH133" s="149"/>
      <c r="AI133" s="149"/>
    </row>
    <row r="134" spans="1:35" ht="24">
      <c r="A134" s="150" t="s">
        <v>49</v>
      </c>
      <c r="B134" s="151">
        <v>31</v>
      </c>
      <c r="C134" s="254" t="s">
        <v>22</v>
      </c>
      <c r="D134" s="151">
        <v>4212</v>
      </c>
      <c r="E134" s="227" t="s">
        <v>58</v>
      </c>
      <c r="F134" s="153" t="s">
        <v>686</v>
      </c>
      <c r="G134" s="883"/>
      <c r="H134" s="879"/>
      <c r="I134" s="880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  <c r="Y134" s="149"/>
      <c r="Z134" s="149"/>
      <c r="AA134" s="149"/>
      <c r="AB134" s="149"/>
      <c r="AC134" s="149"/>
      <c r="AD134" s="149"/>
      <c r="AE134" s="149"/>
      <c r="AF134" s="149"/>
      <c r="AG134" s="149"/>
      <c r="AH134" s="149"/>
      <c r="AI134" s="149"/>
    </row>
    <row r="135" spans="1:35" ht="60">
      <c r="A135" s="150" t="s">
        <v>49</v>
      </c>
      <c r="B135" s="151">
        <v>31</v>
      </c>
      <c r="C135" s="254" t="s">
        <v>22</v>
      </c>
      <c r="D135" s="151">
        <v>4213</v>
      </c>
      <c r="E135" s="227" t="s">
        <v>758</v>
      </c>
      <c r="F135" s="153" t="s">
        <v>686</v>
      </c>
      <c r="G135" s="883"/>
      <c r="H135" s="879"/>
      <c r="I135" s="880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  <c r="Y135" s="149"/>
      <c r="Z135" s="149"/>
      <c r="AA135" s="149"/>
      <c r="AB135" s="149"/>
      <c r="AC135" s="149"/>
      <c r="AD135" s="149"/>
      <c r="AE135" s="149"/>
      <c r="AF135" s="149"/>
      <c r="AG135" s="149"/>
      <c r="AH135" s="149"/>
      <c r="AI135" s="149"/>
    </row>
    <row r="136" spans="1:35" ht="36">
      <c r="A136" s="150" t="s">
        <v>49</v>
      </c>
      <c r="B136" s="151">
        <v>31</v>
      </c>
      <c r="C136" s="254" t="s">
        <v>22</v>
      </c>
      <c r="D136" s="151">
        <v>4214</v>
      </c>
      <c r="E136" s="227" t="s">
        <v>719</v>
      </c>
      <c r="F136" s="153" t="s">
        <v>686</v>
      </c>
      <c r="G136" s="883"/>
      <c r="H136" s="879"/>
      <c r="I136" s="880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  <c r="Y136" s="149"/>
      <c r="Z136" s="149"/>
      <c r="AA136" s="149"/>
      <c r="AB136" s="149"/>
      <c r="AC136" s="149"/>
      <c r="AD136" s="149"/>
      <c r="AE136" s="149"/>
      <c r="AF136" s="149"/>
      <c r="AG136" s="149"/>
      <c r="AH136" s="149"/>
      <c r="AI136" s="149"/>
    </row>
    <row r="137" spans="1:35" ht="36">
      <c r="A137" s="150" t="s">
        <v>49</v>
      </c>
      <c r="B137" s="151">
        <v>31</v>
      </c>
      <c r="C137" s="254" t="s">
        <v>22</v>
      </c>
      <c r="D137" s="151">
        <v>4221</v>
      </c>
      <c r="E137" s="227" t="s">
        <v>63</v>
      </c>
      <c r="F137" s="153" t="s">
        <v>686</v>
      </c>
      <c r="G137" s="883">
        <v>193000</v>
      </c>
      <c r="H137" s="879">
        <v>53474.05</v>
      </c>
      <c r="I137" s="880">
        <v>70000</v>
      </c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  <c r="AG137" s="149"/>
      <c r="AH137" s="149"/>
      <c r="AI137" s="149"/>
    </row>
    <row r="138" spans="1:35" ht="24">
      <c r="A138" s="150" t="s">
        <v>49</v>
      </c>
      <c r="B138" s="151">
        <v>31</v>
      </c>
      <c r="C138" s="254" t="s">
        <v>22</v>
      </c>
      <c r="D138" s="151">
        <v>4222</v>
      </c>
      <c r="E138" s="227" t="s">
        <v>72</v>
      </c>
      <c r="F138" s="153" t="s">
        <v>686</v>
      </c>
      <c r="G138" s="883"/>
      <c r="H138" s="879"/>
      <c r="I138" s="880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  <c r="AE138" s="149"/>
      <c r="AF138" s="149"/>
      <c r="AG138" s="149"/>
      <c r="AH138" s="149"/>
      <c r="AI138" s="149"/>
    </row>
    <row r="139" spans="1:35" ht="36">
      <c r="A139" s="150" t="s">
        <v>49</v>
      </c>
      <c r="B139" s="151">
        <v>31</v>
      </c>
      <c r="C139" s="254" t="s">
        <v>22</v>
      </c>
      <c r="D139" s="151">
        <v>4223</v>
      </c>
      <c r="E139" s="227" t="s">
        <v>90</v>
      </c>
      <c r="F139" s="153" t="s">
        <v>686</v>
      </c>
      <c r="G139" s="883"/>
      <c r="H139" s="879">
        <v>1950</v>
      </c>
      <c r="I139" s="880">
        <v>5000</v>
      </c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  <c r="V139" s="149"/>
      <c r="W139" s="149"/>
      <c r="X139" s="149"/>
      <c r="Y139" s="149"/>
      <c r="Z139" s="149"/>
      <c r="AA139" s="149"/>
      <c r="AB139" s="149"/>
      <c r="AC139" s="149"/>
      <c r="AD139" s="149"/>
      <c r="AE139" s="149"/>
      <c r="AF139" s="149"/>
      <c r="AG139" s="149"/>
      <c r="AH139" s="149"/>
      <c r="AI139" s="149"/>
    </row>
    <row r="140" spans="1:35" ht="36">
      <c r="A140" s="150" t="s">
        <v>49</v>
      </c>
      <c r="B140" s="151">
        <v>31</v>
      </c>
      <c r="C140" s="254" t="s">
        <v>22</v>
      </c>
      <c r="D140" s="151">
        <v>4224</v>
      </c>
      <c r="E140" s="227" t="s">
        <v>73</v>
      </c>
      <c r="F140" s="153" t="s">
        <v>686</v>
      </c>
      <c r="G140" s="883"/>
      <c r="H140" s="879"/>
      <c r="I140" s="880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  <c r="AE140" s="149"/>
      <c r="AF140" s="149"/>
      <c r="AG140" s="149"/>
      <c r="AH140" s="149"/>
      <c r="AI140" s="149"/>
    </row>
    <row r="141" spans="1:35" ht="36">
      <c r="A141" s="150" t="s">
        <v>49</v>
      </c>
      <c r="B141" s="151">
        <v>31</v>
      </c>
      <c r="C141" s="254" t="s">
        <v>22</v>
      </c>
      <c r="D141" s="151">
        <v>4225</v>
      </c>
      <c r="E141" s="227" t="s">
        <v>85</v>
      </c>
      <c r="F141" s="153" t="s">
        <v>686</v>
      </c>
      <c r="G141" s="883"/>
      <c r="H141" s="879"/>
      <c r="I141" s="880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  <c r="V141" s="149"/>
      <c r="W141" s="149"/>
      <c r="X141" s="149"/>
      <c r="Y141" s="149"/>
      <c r="Z141" s="149"/>
      <c r="AA141" s="149"/>
      <c r="AB141" s="149"/>
      <c r="AC141" s="149"/>
      <c r="AD141" s="149"/>
      <c r="AE141" s="149"/>
      <c r="AF141" s="149"/>
      <c r="AG141" s="149"/>
      <c r="AH141" s="149"/>
      <c r="AI141" s="149"/>
    </row>
    <row r="142" spans="1:35" ht="24">
      <c r="A142" s="150" t="s">
        <v>49</v>
      </c>
      <c r="B142" s="151">
        <v>31</v>
      </c>
      <c r="C142" s="254" t="s">
        <v>22</v>
      </c>
      <c r="D142" s="151">
        <v>4226</v>
      </c>
      <c r="E142" s="227" t="s">
        <v>716</v>
      </c>
      <c r="F142" s="153" t="s">
        <v>686</v>
      </c>
      <c r="G142" s="883"/>
      <c r="H142" s="879"/>
      <c r="I142" s="880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  <c r="W142" s="149"/>
      <c r="X142" s="149"/>
      <c r="Y142" s="149"/>
      <c r="Z142" s="149"/>
      <c r="AA142" s="149"/>
      <c r="AB142" s="149"/>
      <c r="AC142" s="149"/>
      <c r="AD142" s="149"/>
      <c r="AE142" s="149"/>
      <c r="AF142" s="149"/>
      <c r="AG142" s="149"/>
      <c r="AH142" s="149"/>
      <c r="AI142" s="149"/>
    </row>
    <row r="143" spans="1:35" ht="60">
      <c r="A143" s="150" t="s">
        <v>49</v>
      </c>
      <c r="B143" s="151">
        <v>31</v>
      </c>
      <c r="C143" s="254" t="s">
        <v>22</v>
      </c>
      <c r="D143" s="151">
        <v>4227</v>
      </c>
      <c r="E143" s="227" t="s">
        <v>93</v>
      </c>
      <c r="F143" s="153" t="s">
        <v>686</v>
      </c>
      <c r="G143" s="883"/>
      <c r="H143" s="879"/>
      <c r="I143" s="880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  <c r="W143" s="149"/>
      <c r="X143" s="149"/>
      <c r="Y143" s="149"/>
      <c r="Z143" s="149"/>
      <c r="AA143" s="149"/>
      <c r="AB143" s="149"/>
      <c r="AC143" s="149"/>
      <c r="AD143" s="149"/>
      <c r="AE143" s="149"/>
      <c r="AF143" s="149"/>
      <c r="AG143" s="149"/>
      <c r="AH143" s="149"/>
      <c r="AI143" s="149"/>
    </row>
    <row r="144" spans="1:35" ht="48">
      <c r="A144" s="150" t="s">
        <v>49</v>
      </c>
      <c r="B144" s="151">
        <v>31</v>
      </c>
      <c r="C144" s="254" t="s">
        <v>22</v>
      </c>
      <c r="D144" s="151">
        <v>4231</v>
      </c>
      <c r="E144" s="227" t="s">
        <v>98</v>
      </c>
      <c r="F144" s="153" t="s">
        <v>686</v>
      </c>
      <c r="G144" s="883"/>
      <c r="H144" s="879"/>
      <c r="I144" s="880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  <c r="Y144" s="149"/>
      <c r="Z144" s="149"/>
      <c r="AA144" s="149"/>
      <c r="AB144" s="149"/>
      <c r="AC144" s="149"/>
      <c r="AD144" s="149"/>
      <c r="AE144" s="149"/>
      <c r="AF144" s="149"/>
      <c r="AG144" s="149"/>
      <c r="AH144" s="149"/>
      <c r="AI144" s="149"/>
    </row>
    <row r="145" spans="1:35" ht="60">
      <c r="A145" s="150" t="s">
        <v>49</v>
      </c>
      <c r="B145" s="151">
        <v>31</v>
      </c>
      <c r="C145" s="254" t="s">
        <v>22</v>
      </c>
      <c r="D145" s="151">
        <v>4233</v>
      </c>
      <c r="E145" s="227" t="s">
        <v>759</v>
      </c>
      <c r="F145" s="153" t="s">
        <v>686</v>
      </c>
      <c r="G145" s="883"/>
      <c r="H145" s="879"/>
      <c r="I145" s="880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  <c r="AE145" s="149"/>
      <c r="AF145" s="149"/>
      <c r="AG145" s="149"/>
      <c r="AH145" s="149"/>
      <c r="AI145" s="149"/>
    </row>
    <row r="146" spans="1:35" ht="24">
      <c r="A146" s="150" t="s">
        <v>49</v>
      </c>
      <c r="B146" s="151">
        <v>31</v>
      </c>
      <c r="C146" s="254" t="s">
        <v>22</v>
      </c>
      <c r="D146" s="151">
        <v>4241</v>
      </c>
      <c r="E146" s="227" t="s">
        <v>74</v>
      </c>
      <c r="F146" s="153" t="s">
        <v>686</v>
      </c>
      <c r="G146" s="883"/>
      <c r="H146" s="879"/>
      <c r="I146" s="880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49"/>
      <c r="AE146" s="149"/>
      <c r="AF146" s="149"/>
      <c r="AG146" s="149"/>
      <c r="AH146" s="149"/>
      <c r="AI146" s="149"/>
    </row>
    <row r="147" spans="1:35" ht="48">
      <c r="A147" s="150" t="s">
        <v>49</v>
      </c>
      <c r="B147" s="151">
        <v>31</v>
      </c>
      <c r="C147" s="254" t="s">
        <v>22</v>
      </c>
      <c r="D147" s="151">
        <v>4244</v>
      </c>
      <c r="E147" s="227" t="s">
        <v>760</v>
      </c>
      <c r="F147" s="153" t="s">
        <v>686</v>
      </c>
      <c r="G147" s="883"/>
      <c r="H147" s="879"/>
      <c r="I147" s="880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49"/>
      <c r="U147" s="149"/>
      <c r="V147" s="149"/>
      <c r="W147" s="149"/>
      <c r="X147" s="149"/>
      <c r="Y147" s="149"/>
      <c r="Z147" s="149"/>
      <c r="AA147" s="149"/>
      <c r="AB147" s="149"/>
      <c r="AC147" s="149"/>
      <c r="AD147" s="149"/>
      <c r="AE147" s="149"/>
      <c r="AF147" s="149"/>
      <c r="AG147" s="149"/>
      <c r="AH147" s="149"/>
      <c r="AI147" s="149"/>
    </row>
    <row r="148" spans="1:35" ht="36">
      <c r="A148" s="150" t="s">
        <v>49</v>
      </c>
      <c r="B148" s="151">
        <v>31</v>
      </c>
      <c r="C148" s="254" t="s">
        <v>22</v>
      </c>
      <c r="D148" s="151">
        <v>4262</v>
      </c>
      <c r="E148" s="227" t="s">
        <v>86</v>
      </c>
      <c r="F148" s="153" t="s">
        <v>686</v>
      </c>
      <c r="G148" s="883"/>
      <c r="H148" s="879"/>
      <c r="I148" s="880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  <c r="V148" s="149"/>
      <c r="W148" s="149"/>
      <c r="X148" s="149"/>
      <c r="Y148" s="149"/>
      <c r="Z148" s="149"/>
      <c r="AA148" s="149"/>
      <c r="AB148" s="149"/>
      <c r="AC148" s="149"/>
      <c r="AD148" s="149"/>
      <c r="AE148" s="149"/>
      <c r="AF148" s="149"/>
      <c r="AG148" s="149"/>
      <c r="AH148" s="149"/>
      <c r="AI148" s="149"/>
    </row>
    <row r="149" spans="1:35" ht="60">
      <c r="A149" s="150" t="s">
        <v>49</v>
      </c>
      <c r="B149" s="151">
        <v>31</v>
      </c>
      <c r="C149" s="254" t="s">
        <v>22</v>
      </c>
      <c r="D149" s="151">
        <v>4264</v>
      </c>
      <c r="E149" s="227" t="s">
        <v>761</v>
      </c>
      <c r="F149" s="153" t="s">
        <v>686</v>
      </c>
      <c r="G149" s="883"/>
      <c r="H149" s="879"/>
      <c r="I149" s="880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49"/>
      <c r="X149" s="149"/>
      <c r="Y149" s="149"/>
      <c r="Z149" s="149"/>
      <c r="AA149" s="149"/>
      <c r="AB149" s="149"/>
      <c r="AC149" s="149"/>
      <c r="AD149" s="149"/>
      <c r="AE149" s="149"/>
      <c r="AF149" s="149"/>
      <c r="AG149" s="149"/>
      <c r="AH149" s="149"/>
      <c r="AI149" s="149"/>
    </row>
    <row r="150" spans="1:35" ht="60">
      <c r="A150" s="150" t="s">
        <v>49</v>
      </c>
      <c r="B150" s="151">
        <v>31</v>
      </c>
      <c r="C150" s="254" t="s">
        <v>22</v>
      </c>
      <c r="D150" s="151">
        <v>4312</v>
      </c>
      <c r="E150" s="227" t="s">
        <v>684</v>
      </c>
      <c r="F150" s="153" t="s">
        <v>686</v>
      </c>
      <c r="G150" s="883"/>
      <c r="H150" s="879"/>
      <c r="I150" s="880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  <c r="Y150" s="149"/>
      <c r="Z150" s="149"/>
      <c r="AA150" s="149"/>
      <c r="AB150" s="149"/>
      <c r="AC150" s="149"/>
      <c r="AD150" s="149"/>
      <c r="AE150" s="149"/>
      <c r="AF150" s="149"/>
      <c r="AG150" s="149"/>
      <c r="AH150" s="149"/>
      <c r="AI150" s="149"/>
    </row>
    <row r="151" spans="1:35" ht="48">
      <c r="A151" s="150" t="s">
        <v>49</v>
      </c>
      <c r="B151" s="151">
        <v>31</v>
      </c>
      <c r="C151" s="254" t="s">
        <v>22</v>
      </c>
      <c r="D151" s="155">
        <v>4511</v>
      </c>
      <c r="E151" s="228" t="s">
        <v>91</v>
      </c>
      <c r="F151" s="153" t="s">
        <v>686</v>
      </c>
      <c r="G151" s="883"/>
      <c r="H151" s="879">
        <v>27625</v>
      </c>
      <c r="I151" s="880">
        <v>27625</v>
      </c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  <c r="W151" s="149"/>
      <c r="X151" s="149"/>
      <c r="Y151" s="149"/>
      <c r="Z151" s="149"/>
      <c r="AA151" s="149"/>
      <c r="AB151" s="149"/>
      <c r="AC151" s="149"/>
      <c r="AD151" s="149"/>
      <c r="AE151" s="149"/>
      <c r="AF151" s="149"/>
      <c r="AG151" s="149"/>
      <c r="AH151" s="149"/>
      <c r="AI151" s="149"/>
    </row>
    <row r="152" spans="1:35" ht="48.75" thickBot="1">
      <c r="A152" s="154" t="s">
        <v>49</v>
      </c>
      <c r="B152" s="155">
        <v>31</v>
      </c>
      <c r="C152" s="255" t="s">
        <v>22</v>
      </c>
      <c r="D152" s="155">
        <v>4521</v>
      </c>
      <c r="E152" s="228" t="s">
        <v>95</v>
      </c>
      <c r="F152" s="156" t="s">
        <v>686</v>
      </c>
      <c r="G152" s="883"/>
      <c r="H152" s="879"/>
      <c r="I152" s="880"/>
      <c r="J152" s="374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  <c r="AE152" s="149"/>
      <c r="AF152" s="149"/>
      <c r="AG152" s="149"/>
      <c r="AH152" s="149"/>
      <c r="AI152" s="149"/>
    </row>
    <row r="153" spans="1:35" s="166" customFormat="1" ht="24.75" thickBot="1">
      <c r="A153" s="162" t="s">
        <v>49</v>
      </c>
      <c r="B153" s="163">
        <v>31</v>
      </c>
      <c r="C153" s="243" t="s">
        <v>22</v>
      </c>
      <c r="D153" s="163"/>
      <c r="E153" s="230" t="s">
        <v>161</v>
      </c>
      <c r="F153" s="164" t="s">
        <v>686</v>
      </c>
      <c r="G153" s="878">
        <f>SUM(G86:G152)</f>
        <v>4689500</v>
      </c>
      <c r="H153" s="884">
        <f t="shared" ref="H153:I153" si="1">SUM(H86:H152)</f>
        <v>3784748.48</v>
      </c>
      <c r="I153" s="884">
        <f t="shared" si="1"/>
        <v>4413279</v>
      </c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  <c r="AA153" s="165"/>
      <c r="AB153" s="165"/>
      <c r="AC153" s="165"/>
      <c r="AD153" s="165"/>
      <c r="AE153" s="165"/>
      <c r="AF153" s="165"/>
      <c r="AG153" s="165"/>
      <c r="AH153" s="165"/>
      <c r="AI153" s="165"/>
    </row>
    <row r="154" spans="1:35" ht="48">
      <c r="A154" s="146" t="s">
        <v>49</v>
      </c>
      <c r="B154" s="147">
        <v>43</v>
      </c>
      <c r="C154" s="253" t="s">
        <v>27</v>
      </c>
      <c r="D154" s="147">
        <v>3111</v>
      </c>
      <c r="E154" s="226" t="s">
        <v>50</v>
      </c>
      <c r="F154" s="148" t="s">
        <v>687</v>
      </c>
      <c r="G154" s="570"/>
      <c r="H154" s="879"/>
      <c r="I154" s="880"/>
      <c r="J154" s="374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  <c r="AE154" s="149"/>
      <c r="AF154" s="149"/>
      <c r="AG154" s="149"/>
      <c r="AH154" s="149"/>
      <c r="AI154" s="149"/>
    </row>
    <row r="155" spans="1:35" ht="48">
      <c r="A155" s="150" t="s">
        <v>49</v>
      </c>
      <c r="B155" s="151">
        <v>43</v>
      </c>
      <c r="C155" s="254" t="s">
        <v>27</v>
      </c>
      <c r="D155" s="147">
        <v>3112</v>
      </c>
      <c r="E155" s="226" t="s">
        <v>96</v>
      </c>
      <c r="F155" s="153" t="s">
        <v>687</v>
      </c>
      <c r="G155" s="503"/>
      <c r="H155" s="879"/>
      <c r="I155" s="880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  <c r="AE155" s="149"/>
      <c r="AF155" s="149"/>
      <c r="AG155" s="149"/>
      <c r="AH155" s="149"/>
      <c r="AI155" s="149"/>
    </row>
    <row r="156" spans="1:35" ht="48">
      <c r="A156" s="150" t="s">
        <v>49</v>
      </c>
      <c r="B156" s="151">
        <v>43</v>
      </c>
      <c r="C156" s="254" t="s">
        <v>27</v>
      </c>
      <c r="D156" s="147">
        <v>3113</v>
      </c>
      <c r="E156" s="226" t="s">
        <v>751</v>
      </c>
      <c r="F156" s="153" t="s">
        <v>687</v>
      </c>
      <c r="G156" s="503"/>
      <c r="H156" s="879"/>
      <c r="I156" s="880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  <c r="AE156" s="149"/>
      <c r="AF156" s="149"/>
      <c r="AG156" s="149"/>
      <c r="AH156" s="149"/>
      <c r="AI156" s="149"/>
    </row>
    <row r="157" spans="1:35" ht="48">
      <c r="A157" s="150" t="s">
        <v>49</v>
      </c>
      <c r="B157" s="151">
        <v>43</v>
      </c>
      <c r="C157" s="254" t="s">
        <v>27</v>
      </c>
      <c r="D157" s="147">
        <v>3114</v>
      </c>
      <c r="E157" s="226" t="s">
        <v>750</v>
      </c>
      <c r="F157" s="153" t="s">
        <v>687</v>
      </c>
      <c r="G157" s="883"/>
      <c r="H157" s="879"/>
      <c r="I157" s="880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  <c r="AE157" s="149"/>
      <c r="AF157" s="149"/>
      <c r="AG157" s="149"/>
      <c r="AH157" s="149"/>
      <c r="AI157" s="149"/>
    </row>
    <row r="158" spans="1:35" ht="48">
      <c r="A158" s="150" t="s">
        <v>49</v>
      </c>
      <c r="B158" s="151">
        <v>43</v>
      </c>
      <c r="C158" s="254" t="s">
        <v>27</v>
      </c>
      <c r="D158" s="151">
        <v>3121</v>
      </c>
      <c r="E158" s="227" t="s">
        <v>51</v>
      </c>
      <c r="F158" s="153" t="s">
        <v>687</v>
      </c>
      <c r="G158" s="503"/>
      <c r="H158" s="879"/>
      <c r="I158" s="880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/>
      <c r="X158" s="149"/>
      <c r="Y158" s="149"/>
      <c r="Z158" s="149"/>
      <c r="AA158" s="149"/>
      <c r="AB158" s="149"/>
      <c r="AC158" s="149"/>
      <c r="AD158" s="149"/>
      <c r="AE158" s="149"/>
      <c r="AF158" s="149"/>
      <c r="AG158" s="149"/>
      <c r="AH158" s="149"/>
      <c r="AI158" s="149"/>
    </row>
    <row r="159" spans="1:35" ht="48">
      <c r="A159" s="150" t="s">
        <v>49</v>
      </c>
      <c r="B159" s="151">
        <v>43</v>
      </c>
      <c r="C159" s="254" t="s">
        <v>27</v>
      </c>
      <c r="D159" s="151">
        <v>3131</v>
      </c>
      <c r="E159" s="227" t="s">
        <v>752</v>
      </c>
      <c r="F159" s="153" t="s">
        <v>687</v>
      </c>
      <c r="G159" s="883"/>
      <c r="H159" s="879"/>
      <c r="I159" s="880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9"/>
      <c r="Z159" s="149"/>
      <c r="AA159" s="149"/>
      <c r="AB159" s="149"/>
      <c r="AC159" s="149"/>
      <c r="AD159" s="149"/>
      <c r="AE159" s="149"/>
      <c r="AF159" s="149"/>
      <c r="AG159" s="149"/>
      <c r="AH159" s="149"/>
      <c r="AI159" s="149"/>
    </row>
    <row r="160" spans="1:35" ht="48">
      <c r="A160" s="150" t="s">
        <v>49</v>
      </c>
      <c r="B160" s="151">
        <v>43</v>
      </c>
      <c r="C160" s="254" t="s">
        <v>27</v>
      </c>
      <c r="D160" s="151">
        <v>3132</v>
      </c>
      <c r="E160" s="227" t="s">
        <v>52</v>
      </c>
      <c r="F160" s="153" t="s">
        <v>687</v>
      </c>
      <c r="G160" s="503"/>
      <c r="H160" s="879"/>
      <c r="I160" s="880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  <c r="V160" s="149"/>
      <c r="W160" s="149"/>
      <c r="X160" s="149"/>
      <c r="Y160" s="149"/>
      <c r="Z160" s="149"/>
      <c r="AA160" s="149"/>
      <c r="AB160" s="149"/>
      <c r="AC160" s="149"/>
      <c r="AD160" s="149"/>
      <c r="AE160" s="149"/>
      <c r="AF160" s="149"/>
      <c r="AG160" s="149"/>
      <c r="AH160" s="149"/>
      <c r="AI160" s="149"/>
    </row>
    <row r="161" spans="1:35" ht="72">
      <c r="A161" s="150" t="s">
        <v>49</v>
      </c>
      <c r="B161" s="151">
        <v>43</v>
      </c>
      <c r="C161" s="254" t="s">
        <v>27</v>
      </c>
      <c r="D161" s="151">
        <v>3133</v>
      </c>
      <c r="E161" s="227" t="s">
        <v>753</v>
      </c>
      <c r="F161" s="153" t="s">
        <v>687</v>
      </c>
      <c r="G161" s="883"/>
      <c r="H161" s="879"/>
      <c r="I161" s="880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  <c r="V161" s="149"/>
      <c r="W161" s="149"/>
      <c r="X161" s="149"/>
      <c r="Y161" s="149"/>
      <c r="Z161" s="149"/>
      <c r="AA161" s="149"/>
      <c r="AB161" s="149"/>
      <c r="AC161" s="149"/>
      <c r="AD161" s="149"/>
      <c r="AE161" s="149"/>
      <c r="AF161" s="149"/>
      <c r="AG161" s="149"/>
      <c r="AH161" s="149"/>
      <c r="AI161" s="149"/>
    </row>
    <row r="162" spans="1:35" ht="48">
      <c r="A162" s="150" t="s">
        <v>49</v>
      </c>
      <c r="B162" s="151">
        <v>43</v>
      </c>
      <c r="C162" s="254" t="s">
        <v>27</v>
      </c>
      <c r="D162" s="151">
        <v>3211</v>
      </c>
      <c r="E162" s="227" t="s">
        <v>60</v>
      </c>
      <c r="F162" s="153" t="s">
        <v>687</v>
      </c>
      <c r="G162" s="503"/>
      <c r="H162" s="879"/>
      <c r="I162" s="880"/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  <c r="W162" s="149"/>
      <c r="X162" s="149"/>
      <c r="Y162" s="149"/>
      <c r="Z162" s="149"/>
      <c r="AA162" s="149"/>
      <c r="AB162" s="149"/>
      <c r="AC162" s="149"/>
      <c r="AD162" s="149"/>
      <c r="AE162" s="149"/>
      <c r="AF162" s="149"/>
      <c r="AG162" s="149"/>
      <c r="AH162" s="149"/>
      <c r="AI162" s="149"/>
    </row>
    <row r="163" spans="1:35" ht="60">
      <c r="A163" s="150" t="s">
        <v>49</v>
      </c>
      <c r="B163" s="151">
        <v>43</v>
      </c>
      <c r="C163" s="254" t="s">
        <v>27</v>
      </c>
      <c r="D163" s="151">
        <v>3212</v>
      </c>
      <c r="E163" s="227" t="s">
        <v>754</v>
      </c>
      <c r="F163" s="153" t="s">
        <v>687</v>
      </c>
      <c r="G163" s="503"/>
      <c r="H163" s="879"/>
      <c r="I163" s="880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  <c r="W163" s="149"/>
      <c r="X163" s="149"/>
      <c r="Y163" s="149"/>
      <c r="Z163" s="149"/>
      <c r="AA163" s="149"/>
      <c r="AB163" s="149"/>
      <c r="AC163" s="149"/>
      <c r="AD163" s="149"/>
      <c r="AE163" s="149"/>
      <c r="AF163" s="149"/>
      <c r="AG163" s="149"/>
      <c r="AH163" s="149"/>
      <c r="AI163" s="149"/>
    </row>
    <row r="164" spans="1:35" ht="48">
      <c r="A164" s="150" t="s">
        <v>49</v>
      </c>
      <c r="B164" s="151">
        <v>43</v>
      </c>
      <c r="C164" s="254" t="s">
        <v>27</v>
      </c>
      <c r="D164" s="151">
        <v>3213</v>
      </c>
      <c r="E164" s="227" t="s">
        <v>64</v>
      </c>
      <c r="F164" s="153" t="s">
        <v>687</v>
      </c>
      <c r="G164" s="503"/>
      <c r="H164" s="879"/>
      <c r="I164" s="880"/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  <c r="V164" s="149"/>
      <c r="W164" s="149"/>
      <c r="X164" s="149"/>
      <c r="Y164" s="149"/>
      <c r="Z164" s="149"/>
      <c r="AA164" s="149"/>
      <c r="AB164" s="149"/>
      <c r="AC164" s="149"/>
      <c r="AD164" s="149"/>
      <c r="AE164" s="149"/>
      <c r="AF164" s="149"/>
      <c r="AG164" s="149"/>
      <c r="AH164" s="149"/>
      <c r="AI164" s="149"/>
    </row>
    <row r="165" spans="1:35" ht="48">
      <c r="A165" s="150" t="s">
        <v>49</v>
      </c>
      <c r="B165" s="151">
        <v>43</v>
      </c>
      <c r="C165" s="254" t="s">
        <v>27</v>
      </c>
      <c r="D165" s="151">
        <v>3214</v>
      </c>
      <c r="E165" s="227" t="s">
        <v>75</v>
      </c>
      <c r="F165" s="153" t="s">
        <v>687</v>
      </c>
      <c r="G165" s="503"/>
      <c r="H165" s="879"/>
      <c r="I165" s="880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  <c r="AE165" s="149"/>
      <c r="AF165" s="149"/>
      <c r="AG165" s="149"/>
      <c r="AH165" s="149"/>
      <c r="AI165" s="149"/>
    </row>
    <row r="166" spans="1:35" ht="60">
      <c r="A166" s="150" t="s">
        <v>49</v>
      </c>
      <c r="B166" s="151">
        <v>43</v>
      </c>
      <c r="C166" s="254" t="s">
        <v>27</v>
      </c>
      <c r="D166" s="151">
        <v>3221</v>
      </c>
      <c r="E166" s="227" t="s">
        <v>65</v>
      </c>
      <c r="F166" s="153" t="s">
        <v>687</v>
      </c>
      <c r="G166" s="503"/>
      <c r="H166" s="879"/>
      <c r="I166" s="880"/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149"/>
      <c r="U166" s="149"/>
      <c r="V166" s="149"/>
      <c r="W166" s="149"/>
      <c r="X166" s="149"/>
      <c r="Y166" s="149"/>
      <c r="Z166" s="149"/>
      <c r="AA166" s="149"/>
      <c r="AB166" s="149"/>
      <c r="AC166" s="149"/>
      <c r="AD166" s="149"/>
      <c r="AE166" s="149"/>
      <c r="AF166" s="149"/>
      <c r="AG166" s="149"/>
      <c r="AH166" s="149"/>
      <c r="AI166" s="149"/>
    </row>
    <row r="167" spans="1:35" ht="48">
      <c r="A167" s="150" t="s">
        <v>49</v>
      </c>
      <c r="B167" s="151">
        <v>43</v>
      </c>
      <c r="C167" s="254" t="s">
        <v>27</v>
      </c>
      <c r="D167" s="151">
        <v>3222</v>
      </c>
      <c r="E167" s="227" t="s">
        <v>76</v>
      </c>
      <c r="F167" s="153" t="s">
        <v>687</v>
      </c>
      <c r="G167" s="503"/>
      <c r="H167" s="879"/>
      <c r="I167" s="880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49"/>
      <c r="U167" s="149"/>
      <c r="V167" s="149"/>
      <c r="W167" s="149"/>
      <c r="X167" s="149"/>
      <c r="Y167" s="149"/>
      <c r="Z167" s="149"/>
      <c r="AA167" s="149"/>
      <c r="AB167" s="149"/>
      <c r="AC167" s="149"/>
      <c r="AD167" s="149"/>
      <c r="AE167" s="149"/>
      <c r="AF167" s="149"/>
      <c r="AG167" s="149"/>
      <c r="AH167" s="149"/>
      <c r="AI167" s="149"/>
    </row>
    <row r="168" spans="1:35" ht="48">
      <c r="A168" s="150" t="s">
        <v>49</v>
      </c>
      <c r="B168" s="151">
        <v>43</v>
      </c>
      <c r="C168" s="254" t="s">
        <v>27</v>
      </c>
      <c r="D168" s="151">
        <v>3223</v>
      </c>
      <c r="E168" s="227" t="s">
        <v>77</v>
      </c>
      <c r="F168" s="153" t="s">
        <v>687</v>
      </c>
      <c r="G168" s="503"/>
      <c r="H168" s="879"/>
      <c r="I168" s="880"/>
      <c r="J168" s="149"/>
      <c r="K168" s="149"/>
      <c r="L168" s="149"/>
      <c r="M168" s="149"/>
      <c r="N168" s="149"/>
      <c r="O168" s="149"/>
      <c r="P168" s="149"/>
      <c r="Q168" s="149"/>
      <c r="R168" s="149"/>
      <c r="S168" s="149"/>
      <c r="T168" s="149"/>
      <c r="U168" s="149"/>
      <c r="V168" s="149"/>
      <c r="W168" s="149"/>
      <c r="X168" s="149"/>
      <c r="Y168" s="149"/>
      <c r="Z168" s="149"/>
      <c r="AA168" s="149"/>
      <c r="AB168" s="149"/>
      <c r="AC168" s="149"/>
      <c r="AD168" s="149"/>
      <c r="AE168" s="149"/>
      <c r="AF168" s="149"/>
      <c r="AG168" s="149"/>
      <c r="AH168" s="149"/>
      <c r="AI168" s="149"/>
    </row>
    <row r="169" spans="1:35" ht="60">
      <c r="A169" s="150" t="s">
        <v>49</v>
      </c>
      <c r="B169" s="151">
        <v>43</v>
      </c>
      <c r="C169" s="254" t="s">
        <v>27</v>
      </c>
      <c r="D169" s="151">
        <v>3224</v>
      </c>
      <c r="E169" s="227" t="s">
        <v>61</v>
      </c>
      <c r="F169" s="153" t="s">
        <v>687</v>
      </c>
      <c r="G169" s="503"/>
      <c r="H169" s="879"/>
      <c r="I169" s="880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  <c r="AE169" s="149"/>
      <c r="AF169" s="149"/>
      <c r="AG169" s="149"/>
      <c r="AH169" s="149"/>
      <c r="AI169" s="149"/>
    </row>
    <row r="170" spans="1:35" ht="48">
      <c r="A170" s="150" t="s">
        <v>49</v>
      </c>
      <c r="B170" s="151">
        <v>43</v>
      </c>
      <c r="C170" s="254" t="s">
        <v>27</v>
      </c>
      <c r="D170" s="151">
        <v>3225</v>
      </c>
      <c r="E170" s="227" t="s">
        <v>78</v>
      </c>
      <c r="F170" s="153" t="s">
        <v>687</v>
      </c>
      <c r="G170" s="503"/>
      <c r="H170" s="879"/>
      <c r="I170" s="880"/>
      <c r="J170" s="149"/>
      <c r="K170" s="149"/>
      <c r="L170" s="149"/>
      <c r="M170" s="149"/>
      <c r="N170" s="149"/>
      <c r="O170" s="149"/>
      <c r="P170" s="149"/>
      <c r="Q170" s="149"/>
      <c r="R170" s="149"/>
      <c r="S170" s="149"/>
      <c r="T170" s="149"/>
      <c r="U170" s="149"/>
      <c r="V170" s="149"/>
      <c r="W170" s="149"/>
      <c r="X170" s="149"/>
      <c r="Y170" s="149"/>
      <c r="Z170" s="149"/>
      <c r="AA170" s="149"/>
      <c r="AB170" s="149"/>
      <c r="AC170" s="149"/>
      <c r="AD170" s="149"/>
      <c r="AE170" s="149"/>
      <c r="AF170" s="149"/>
      <c r="AG170" s="149"/>
      <c r="AH170" s="149"/>
      <c r="AI170" s="149"/>
    </row>
    <row r="171" spans="1:35" ht="60">
      <c r="A171" s="150" t="s">
        <v>49</v>
      </c>
      <c r="B171" s="151">
        <v>43</v>
      </c>
      <c r="C171" s="254" t="s">
        <v>27</v>
      </c>
      <c r="D171" s="151">
        <v>3227</v>
      </c>
      <c r="E171" s="227" t="s">
        <v>89</v>
      </c>
      <c r="F171" s="153" t="s">
        <v>687</v>
      </c>
      <c r="G171" s="503"/>
      <c r="H171" s="879"/>
      <c r="I171" s="880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  <c r="T171" s="149"/>
      <c r="U171" s="149"/>
      <c r="V171" s="149"/>
      <c r="W171" s="149"/>
      <c r="X171" s="149"/>
      <c r="Y171" s="149"/>
      <c r="Z171" s="149"/>
      <c r="AA171" s="149"/>
      <c r="AB171" s="149"/>
      <c r="AC171" s="149"/>
      <c r="AD171" s="149"/>
      <c r="AE171" s="149"/>
      <c r="AF171" s="149"/>
      <c r="AG171" s="149"/>
      <c r="AH171" s="149"/>
      <c r="AI171" s="149"/>
    </row>
    <row r="172" spans="1:35" ht="48">
      <c r="A172" s="150" t="s">
        <v>49</v>
      </c>
      <c r="B172" s="151">
        <v>43</v>
      </c>
      <c r="C172" s="254" t="s">
        <v>27</v>
      </c>
      <c r="D172" s="151">
        <v>3231</v>
      </c>
      <c r="E172" s="227" t="s">
        <v>79</v>
      </c>
      <c r="F172" s="153" t="s">
        <v>687</v>
      </c>
      <c r="G172" s="503"/>
      <c r="H172" s="879"/>
      <c r="I172" s="880"/>
      <c r="J172" s="149"/>
      <c r="K172" s="149"/>
      <c r="L172" s="149"/>
      <c r="M172" s="149"/>
      <c r="N172" s="149"/>
      <c r="O172" s="149"/>
      <c r="P172" s="149"/>
      <c r="Q172" s="149"/>
      <c r="R172" s="149"/>
      <c r="S172" s="149"/>
      <c r="T172" s="149"/>
      <c r="U172" s="149"/>
      <c r="V172" s="149"/>
      <c r="W172" s="149"/>
      <c r="X172" s="149"/>
      <c r="Y172" s="149"/>
      <c r="Z172" s="149"/>
      <c r="AA172" s="149"/>
      <c r="AB172" s="149"/>
      <c r="AC172" s="149"/>
      <c r="AD172" s="149"/>
      <c r="AE172" s="149"/>
      <c r="AF172" s="149"/>
      <c r="AG172" s="149"/>
      <c r="AH172" s="149"/>
      <c r="AI172" s="149"/>
    </row>
    <row r="173" spans="1:35" ht="48">
      <c r="A173" s="150" t="s">
        <v>49</v>
      </c>
      <c r="B173" s="151">
        <v>43</v>
      </c>
      <c r="C173" s="254" t="s">
        <v>27</v>
      </c>
      <c r="D173" s="151">
        <v>3232</v>
      </c>
      <c r="E173" s="227" t="s">
        <v>80</v>
      </c>
      <c r="F173" s="153" t="s">
        <v>687</v>
      </c>
      <c r="G173" s="503"/>
      <c r="H173" s="879"/>
      <c r="I173" s="880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  <c r="V173" s="149"/>
      <c r="W173" s="149"/>
      <c r="X173" s="149"/>
      <c r="Y173" s="149"/>
      <c r="Z173" s="149"/>
      <c r="AA173" s="149"/>
      <c r="AB173" s="149"/>
      <c r="AC173" s="149"/>
      <c r="AD173" s="149"/>
      <c r="AE173" s="149"/>
      <c r="AF173" s="149"/>
      <c r="AG173" s="149"/>
      <c r="AH173" s="149"/>
      <c r="AI173" s="149"/>
    </row>
    <row r="174" spans="1:35" ht="48">
      <c r="A174" s="150" t="s">
        <v>49</v>
      </c>
      <c r="B174" s="151">
        <v>43</v>
      </c>
      <c r="C174" s="254" t="s">
        <v>27</v>
      </c>
      <c r="D174" s="151">
        <v>3233</v>
      </c>
      <c r="E174" s="227" t="s">
        <v>81</v>
      </c>
      <c r="F174" s="153" t="s">
        <v>687</v>
      </c>
      <c r="G174" s="503"/>
      <c r="H174" s="879"/>
      <c r="I174" s="880"/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49"/>
      <c r="U174" s="149"/>
      <c r="V174" s="149"/>
      <c r="W174" s="149"/>
      <c r="X174" s="149"/>
      <c r="Y174" s="149"/>
      <c r="Z174" s="149"/>
      <c r="AA174" s="149"/>
      <c r="AB174" s="149"/>
      <c r="AC174" s="149"/>
      <c r="AD174" s="149"/>
      <c r="AE174" s="149"/>
      <c r="AF174" s="149"/>
      <c r="AG174" s="149"/>
      <c r="AH174" s="149"/>
      <c r="AI174" s="149"/>
    </row>
    <row r="175" spans="1:35" ht="48">
      <c r="A175" s="150" t="s">
        <v>49</v>
      </c>
      <c r="B175" s="151">
        <v>43</v>
      </c>
      <c r="C175" s="254" t="s">
        <v>27</v>
      </c>
      <c r="D175" s="151">
        <v>3234</v>
      </c>
      <c r="E175" s="227" t="s">
        <v>87</v>
      </c>
      <c r="F175" s="148" t="s">
        <v>687</v>
      </c>
      <c r="G175" s="503"/>
      <c r="H175" s="879"/>
      <c r="I175" s="880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  <c r="T175" s="149"/>
      <c r="U175" s="149"/>
      <c r="V175" s="149"/>
      <c r="W175" s="149"/>
      <c r="X175" s="149"/>
      <c r="Y175" s="149"/>
      <c r="Z175" s="149"/>
      <c r="AA175" s="149"/>
      <c r="AB175" s="149"/>
      <c r="AC175" s="149"/>
      <c r="AD175" s="149"/>
      <c r="AE175" s="149"/>
      <c r="AF175" s="149"/>
      <c r="AG175" s="149"/>
      <c r="AH175" s="149"/>
      <c r="AI175" s="149"/>
    </row>
    <row r="176" spans="1:35" ht="48">
      <c r="A176" s="150" t="s">
        <v>49</v>
      </c>
      <c r="B176" s="151">
        <v>43</v>
      </c>
      <c r="C176" s="254" t="s">
        <v>27</v>
      </c>
      <c r="D176" s="151">
        <v>3235</v>
      </c>
      <c r="E176" s="227" t="s">
        <v>88</v>
      </c>
      <c r="F176" s="148" t="s">
        <v>687</v>
      </c>
      <c r="G176" s="503"/>
      <c r="H176" s="879"/>
      <c r="I176" s="880"/>
      <c r="J176" s="149"/>
      <c r="K176" s="149"/>
      <c r="L176" s="149"/>
      <c r="M176" s="149"/>
      <c r="N176" s="149"/>
      <c r="O176" s="149"/>
      <c r="P176" s="149"/>
      <c r="Q176" s="149"/>
      <c r="R176" s="149"/>
      <c r="S176" s="149"/>
      <c r="T176" s="149"/>
      <c r="U176" s="149"/>
      <c r="V176" s="149"/>
      <c r="W176" s="149"/>
      <c r="X176" s="149"/>
      <c r="Y176" s="149"/>
      <c r="Z176" s="149"/>
      <c r="AA176" s="149"/>
      <c r="AB176" s="149"/>
      <c r="AC176" s="149"/>
      <c r="AD176" s="149"/>
      <c r="AE176" s="149"/>
      <c r="AF176" s="149"/>
      <c r="AG176" s="149"/>
      <c r="AH176" s="149"/>
      <c r="AI176" s="149"/>
    </row>
    <row r="177" spans="1:35" ht="48">
      <c r="A177" s="150" t="s">
        <v>49</v>
      </c>
      <c r="B177" s="151">
        <v>43</v>
      </c>
      <c r="C177" s="254" t="s">
        <v>27</v>
      </c>
      <c r="D177" s="151">
        <v>3236</v>
      </c>
      <c r="E177" s="227" t="s">
        <v>54</v>
      </c>
      <c r="F177" s="148" t="s">
        <v>687</v>
      </c>
      <c r="G177" s="503"/>
      <c r="H177" s="879"/>
      <c r="I177" s="880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  <c r="T177" s="149"/>
      <c r="U177" s="149"/>
      <c r="V177" s="149"/>
      <c r="W177" s="149"/>
      <c r="X177" s="149"/>
      <c r="Y177" s="149"/>
      <c r="Z177" s="149"/>
      <c r="AA177" s="149"/>
      <c r="AB177" s="149"/>
      <c r="AC177" s="149"/>
      <c r="AD177" s="149"/>
      <c r="AE177" s="149"/>
      <c r="AF177" s="149"/>
      <c r="AG177" s="149"/>
      <c r="AH177" s="149"/>
      <c r="AI177" s="149"/>
    </row>
    <row r="178" spans="1:35" ht="48">
      <c r="A178" s="150" t="s">
        <v>49</v>
      </c>
      <c r="B178" s="151">
        <v>43</v>
      </c>
      <c r="C178" s="254" t="s">
        <v>27</v>
      </c>
      <c r="D178" s="151">
        <v>3237</v>
      </c>
      <c r="E178" s="227" t="s">
        <v>62</v>
      </c>
      <c r="F178" s="148" t="s">
        <v>687</v>
      </c>
      <c r="G178" s="503"/>
      <c r="H178" s="879"/>
      <c r="I178" s="880"/>
      <c r="J178" s="149"/>
      <c r="K178" s="149"/>
      <c r="L178" s="149"/>
      <c r="M178" s="149"/>
      <c r="N178" s="149"/>
      <c r="O178" s="149"/>
      <c r="P178" s="149"/>
      <c r="Q178" s="149"/>
      <c r="R178" s="149"/>
      <c r="S178" s="149"/>
      <c r="T178" s="149"/>
      <c r="U178" s="149"/>
      <c r="V178" s="149"/>
      <c r="W178" s="149"/>
      <c r="X178" s="149"/>
      <c r="Y178" s="149"/>
      <c r="Z178" s="149"/>
      <c r="AA178" s="149"/>
      <c r="AB178" s="149"/>
      <c r="AC178" s="149"/>
      <c r="AD178" s="149"/>
      <c r="AE178" s="149"/>
      <c r="AF178" s="149"/>
      <c r="AG178" s="149"/>
      <c r="AH178" s="149"/>
      <c r="AI178" s="149"/>
    </row>
    <row r="179" spans="1:35" ht="48">
      <c r="A179" s="150" t="s">
        <v>49</v>
      </c>
      <c r="B179" s="151">
        <v>43</v>
      </c>
      <c r="C179" s="254" t="s">
        <v>27</v>
      </c>
      <c r="D179" s="151">
        <v>3238</v>
      </c>
      <c r="E179" s="227" t="s">
        <v>82</v>
      </c>
      <c r="F179" s="148" t="s">
        <v>687</v>
      </c>
      <c r="G179" s="503"/>
      <c r="H179" s="879"/>
      <c r="I179" s="880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  <c r="V179" s="149"/>
      <c r="W179" s="149"/>
      <c r="X179" s="149"/>
      <c r="Y179" s="149"/>
      <c r="Z179" s="149"/>
      <c r="AA179" s="149"/>
      <c r="AB179" s="149"/>
      <c r="AC179" s="149"/>
      <c r="AD179" s="149"/>
      <c r="AE179" s="149"/>
      <c r="AF179" s="149"/>
      <c r="AG179" s="149"/>
      <c r="AH179" s="149"/>
      <c r="AI179" s="149"/>
    </row>
    <row r="180" spans="1:35" ht="48">
      <c r="A180" s="150" t="s">
        <v>49</v>
      </c>
      <c r="B180" s="151">
        <v>43</v>
      </c>
      <c r="C180" s="254" t="s">
        <v>27</v>
      </c>
      <c r="D180" s="151">
        <v>3239</v>
      </c>
      <c r="E180" s="227" t="s">
        <v>66</v>
      </c>
      <c r="F180" s="148" t="s">
        <v>687</v>
      </c>
      <c r="G180" s="503"/>
      <c r="H180" s="879"/>
      <c r="I180" s="880"/>
      <c r="J180" s="149"/>
      <c r="K180" s="149"/>
      <c r="L180" s="149"/>
      <c r="M180" s="149"/>
      <c r="N180" s="149"/>
      <c r="O180" s="149"/>
      <c r="P180" s="149"/>
      <c r="Q180" s="149"/>
      <c r="R180" s="149"/>
      <c r="S180" s="149"/>
      <c r="T180" s="149"/>
      <c r="U180" s="149"/>
      <c r="V180" s="149"/>
      <c r="W180" s="149"/>
      <c r="X180" s="149"/>
      <c r="Y180" s="149"/>
      <c r="Z180" s="149"/>
      <c r="AA180" s="149"/>
      <c r="AB180" s="149"/>
      <c r="AC180" s="149"/>
      <c r="AD180" s="149"/>
      <c r="AE180" s="149"/>
      <c r="AF180" s="149"/>
      <c r="AG180" s="149"/>
      <c r="AH180" s="149"/>
      <c r="AI180" s="149"/>
    </row>
    <row r="181" spans="1:35" ht="60">
      <c r="A181" s="150" t="s">
        <v>49</v>
      </c>
      <c r="B181" s="151">
        <v>43</v>
      </c>
      <c r="C181" s="254" t="s">
        <v>27</v>
      </c>
      <c r="D181" s="151">
        <v>3241</v>
      </c>
      <c r="E181" s="227" t="s">
        <v>67</v>
      </c>
      <c r="F181" s="148" t="s">
        <v>687</v>
      </c>
      <c r="G181" s="503"/>
      <c r="H181" s="879"/>
      <c r="I181" s="880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  <c r="V181" s="149"/>
      <c r="W181" s="149"/>
      <c r="X181" s="149"/>
      <c r="Y181" s="149"/>
      <c r="Z181" s="149"/>
      <c r="AA181" s="149"/>
      <c r="AB181" s="149"/>
      <c r="AC181" s="149"/>
      <c r="AD181" s="149"/>
      <c r="AE181" s="149"/>
      <c r="AF181" s="149"/>
      <c r="AG181" s="149"/>
      <c r="AH181" s="149"/>
      <c r="AI181" s="149"/>
    </row>
    <row r="182" spans="1:35" ht="60">
      <c r="A182" s="150" t="s">
        <v>49</v>
      </c>
      <c r="B182" s="151">
        <v>43</v>
      </c>
      <c r="C182" s="254" t="s">
        <v>27</v>
      </c>
      <c r="D182" s="151">
        <v>3291</v>
      </c>
      <c r="E182" s="227" t="s">
        <v>713</v>
      </c>
      <c r="F182" s="148" t="s">
        <v>687</v>
      </c>
      <c r="G182" s="883"/>
      <c r="H182" s="879"/>
      <c r="I182" s="880"/>
      <c r="J182" s="149"/>
      <c r="K182" s="149"/>
      <c r="L182" s="149"/>
      <c r="M182" s="149"/>
      <c r="N182" s="149"/>
      <c r="O182" s="149"/>
      <c r="P182" s="149"/>
      <c r="Q182" s="149"/>
      <c r="R182" s="149"/>
      <c r="S182" s="149"/>
      <c r="T182" s="149"/>
      <c r="U182" s="149"/>
      <c r="V182" s="149"/>
      <c r="W182" s="149"/>
      <c r="X182" s="149"/>
      <c r="Y182" s="149"/>
      <c r="Z182" s="149"/>
      <c r="AA182" s="149"/>
      <c r="AB182" s="149"/>
      <c r="AC182" s="149"/>
      <c r="AD182" s="149"/>
      <c r="AE182" s="149"/>
      <c r="AF182" s="149"/>
      <c r="AG182" s="149"/>
      <c r="AH182" s="149"/>
      <c r="AI182" s="149"/>
    </row>
    <row r="183" spans="1:35" ht="48">
      <c r="A183" s="150" t="s">
        <v>49</v>
      </c>
      <c r="B183" s="151">
        <v>43</v>
      </c>
      <c r="C183" s="254" t="s">
        <v>27</v>
      </c>
      <c r="D183" s="151">
        <v>3292</v>
      </c>
      <c r="E183" s="227" t="s">
        <v>59</v>
      </c>
      <c r="F183" s="148" t="s">
        <v>687</v>
      </c>
      <c r="G183" s="883"/>
      <c r="H183" s="879"/>
      <c r="I183" s="880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49"/>
      <c r="V183" s="149"/>
      <c r="W183" s="149"/>
      <c r="X183" s="149"/>
      <c r="Y183" s="149"/>
      <c r="Z183" s="149"/>
      <c r="AA183" s="149"/>
      <c r="AB183" s="149"/>
      <c r="AC183" s="149"/>
      <c r="AD183" s="149"/>
      <c r="AE183" s="149"/>
      <c r="AF183" s="149"/>
      <c r="AG183" s="149"/>
      <c r="AH183" s="149"/>
      <c r="AI183" s="149"/>
    </row>
    <row r="184" spans="1:35" ht="48">
      <c r="A184" s="150" t="s">
        <v>49</v>
      </c>
      <c r="B184" s="151">
        <v>43</v>
      </c>
      <c r="C184" s="254" t="s">
        <v>27</v>
      </c>
      <c r="D184" s="151">
        <v>3293</v>
      </c>
      <c r="E184" s="227" t="s">
        <v>68</v>
      </c>
      <c r="F184" s="148" t="s">
        <v>687</v>
      </c>
      <c r="G184" s="503"/>
      <c r="H184" s="879"/>
      <c r="I184" s="880"/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  <c r="T184" s="149"/>
      <c r="U184" s="149"/>
      <c r="V184" s="149"/>
      <c r="W184" s="149"/>
      <c r="X184" s="149"/>
      <c r="Y184" s="149"/>
      <c r="Z184" s="149"/>
      <c r="AA184" s="149"/>
      <c r="AB184" s="149"/>
      <c r="AC184" s="149"/>
      <c r="AD184" s="149"/>
      <c r="AE184" s="149"/>
      <c r="AF184" s="149"/>
      <c r="AG184" s="149"/>
      <c r="AH184" s="149"/>
      <c r="AI184" s="149"/>
    </row>
    <row r="185" spans="1:35" ht="48">
      <c r="A185" s="150" t="s">
        <v>49</v>
      </c>
      <c r="B185" s="151">
        <v>43</v>
      </c>
      <c r="C185" s="254" t="s">
        <v>27</v>
      </c>
      <c r="D185" s="151">
        <v>3294</v>
      </c>
      <c r="E185" s="227" t="s">
        <v>69</v>
      </c>
      <c r="F185" s="148" t="s">
        <v>687</v>
      </c>
      <c r="G185" s="503"/>
      <c r="H185" s="879"/>
      <c r="I185" s="880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49"/>
      <c r="U185" s="149"/>
      <c r="V185" s="149"/>
      <c r="W185" s="149"/>
      <c r="X185" s="149"/>
      <c r="Y185" s="149"/>
      <c r="Z185" s="149"/>
      <c r="AA185" s="149"/>
      <c r="AB185" s="149"/>
      <c r="AC185" s="149"/>
      <c r="AD185" s="149"/>
      <c r="AE185" s="149"/>
      <c r="AF185" s="149"/>
      <c r="AG185" s="149"/>
      <c r="AH185" s="149"/>
      <c r="AI185" s="149"/>
    </row>
    <row r="186" spans="1:35" ht="48">
      <c r="A186" s="150" t="s">
        <v>49</v>
      </c>
      <c r="B186" s="151">
        <v>43</v>
      </c>
      <c r="C186" s="254" t="s">
        <v>27</v>
      </c>
      <c r="D186" s="151">
        <v>3295</v>
      </c>
      <c r="E186" s="227" t="s">
        <v>55</v>
      </c>
      <c r="F186" s="148" t="s">
        <v>687</v>
      </c>
      <c r="G186" s="503"/>
      <c r="H186" s="879"/>
      <c r="I186" s="880"/>
      <c r="J186" s="149"/>
      <c r="K186" s="149"/>
      <c r="L186" s="149"/>
      <c r="M186" s="149"/>
      <c r="N186" s="149"/>
      <c r="O186" s="149"/>
      <c r="P186" s="149"/>
      <c r="Q186" s="149"/>
      <c r="R186" s="149"/>
      <c r="S186" s="149"/>
      <c r="T186" s="149"/>
      <c r="U186" s="149"/>
      <c r="V186" s="149"/>
      <c r="W186" s="149"/>
      <c r="X186" s="149"/>
      <c r="Y186" s="149"/>
      <c r="Z186" s="149"/>
      <c r="AA186" s="149"/>
      <c r="AB186" s="149"/>
      <c r="AC186" s="149"/>
      <c r="AD186" s="149"/>
      <c r="AE186" s="149"/>
      <c r="AF186" s="149"/>
      <c r="AG186" s="149"/>
      <c r="AH186" s="149"/>
      <c r="AI186" s="149"/>
    </row>
    <row r="187" spans="1:35" ht="48">
      <c r="A187" s="150" t="s">
        <v>49</v>
      </c>
      <c r="B187" s="151">
        <v>43</v>
      </c>
      <c r="C187" s="254" t="s">
        <v>27</v>
      </c>
      <c r="D187" s="151">
        <v>3296</v>
      </c>
      <c r="E187" s="227" t="s">
        <v>97</v>
      </c>
      <c r="F187" s="148" t="s">
        <v>687</v>
      </c>
      <c r="G187" s="503"/>
      <c r="H187" s="879"/>
      <c r="I187" s="880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  <c r="V187" s="149"/>
      <c r="W187" s="149"/>
      <c r="X187" s="149"/>
      <c r="Y187" s="149"/>
      <c r="Z187" s="149"/>
      <c r="AA187" s="149"/>
      <c r="AB187" s="149"/>
      <c r="AC187" s="149"/>
      <c r="AD187" s="149"/>
      <c r="AE187" s="149"/>
      <c r="AF187" s="149"/>
      <c r="AG187" s="149"/>
      <c r="AH187" s="149"/>
      <c r="AI187" s="149"/>
    </row>
    <row r="188" spans="1:35" ht="48">
      <c r="A188" s="150" t="s">
        <v>49</v>
      </c>
      <c r="B188" s="151">
        <v>43</v>
      </c>
      <c r="C188" s="254" t="s">
        <v>27</v>
      </c>
      <c r="D188" s="151">
        <v>3299</v>
      </c>
      <c r="E188" s="227" t="s">
        <v>57</v>
      </c>
      <c r="F188" s="148" t="s">
        <v>687</v>
      </c>
      <c r="G188" s="503"/>
      <c r="H188" s="879"/>
      <c r="I188" s="880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  <c r="W188" s="149"/>
      <c r="X188" s="149"/>
      <c r="Y188" s="149"/>
      <c r="Z188" s="149"/>
      <c r="AA188" s="149"/>
      <c r="AB188" s="149"/>
      <c r="AC188" s="149"/>
      <c r="AD188" s="149"/>
      <c r="AE188" s="149"/>
      <c r="AF188" s="149"/>
      <c r="AG188" s="149"/>
      <c r="AH188" s="149"/>
      <c r="AI188" s="149"/>
    </row>
    <row r="189" spans="1:35" ht="60">
      <c r="A189" s="150" t="s">
        <v>49</v>
      </c>
      <c r="B189" s="151">
        <v>43</v>
      </c>
      <c r="C189" s="254" t="s">
        <v>27</v>
      </c>
      <c r="D189" s="151">
        <v>3431</v>
      </c>
      <c r="E189" s="227" t="s">
        <v>70</v>
      </c>
      <c r="F189" s="148" t="s">
        <v>687</v>
      </c>
      <c r="G189" s="503"/>
      <c r="H189" s="879"/>
      <c r="I189" s="880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  <c r="W189" s="149"/>
      <c r="X189" s="149"/>
      <c r="Y189" s="149"/>
      <c r="Z189" s="149"/>
      <c r="AA189" s="149"/>
      <c r="AB189" s="149"/>
      <c r="AC189" s="149"/>
      <c r="AD189" s="149"/>
      <c r="AE189" s="149"/>
      <c r="AF189" s="149"/>
      <c r="AG189" s="149"/>
      <c r="AH189" s="149"/>
      <c r="AI189" s="149"/>
    </row>
    <row r="190" spans="1:35" ht="72">
      <c r="A190" s="150" t="s">
        <v>49</v>
      </c>
      <c r="B190" s="151">
        <v>43</v>
      </c>
      <c r="C190" s="254" t="s">
        <v>27</v>
      </c>
      <c r="D190" s="151">
        <v>3432</v>
      </c>
      <c r="E190" s="227" t="s">
        <v>71</v>
      </c>
      <c r="F190" s="148" t="s">
        <v>687</v>
      </c>
      <c r="G190" s="503"/>
      <c r="H190" s="879"/>
      <c r="I190" s="880"/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  <c r="V190" s="149"/>
      <c r="W190" s="149"/>
      <c r="X190" s="149"/>
      <c r="Y190" s="149"/>
      <c r="Z190" s="149"/>
      <c r="AA190" s="149"/>
      <c r="AB190" s="149"/>
      <c r="AC190" s="149"/>
      <c r="AD190" s="149"/>
      <c r="AE190" s="149"/>
      <c r="AF190" s="149"/>
      <c r="AG190" s="149"/>
      <c r="AH190" s="149"/>
      <c r="AI190" s="149"/>
    </row>
    <row r="191" spans="1:35" ht="48">
      <c r="A191" s="150" t="s">
        <v>49</v>
      </c>
      <c r="B191" s="151">
        <v>43</v>
      </c>
      <c r="C191" s="254" t="s">
        <v>27</v>
      </c>
      <c r="D191" s="151">
        <v>3433</v>
      </c>
      <c r="E191" s="227" t="s">
        <v>725</v>
      </c>
      <c r="F191" s="148" t="s">
        <v>687</v>
      </c>
      <c r="G191" s="883"/>
      <c r="H191" s="879"/>
      <c r="I191" s="880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  <c r="V191" s="149"/>
      <c r="W191" s="149"/>
      <c r="X191" s="149"/>
      <c r="Y191" s="149"/>
      <c r="Z191" s="149"/>
      <c r="AA191" s="149"/>
      <c r="AB191" s="149"/>
      <c r="AC191" s="149"/>
      <c r="AD191" s="149"/>
      <c r="AE191" s="149"/>
      <c r="AF191" s="149"/>
      <c r="AG191" s="149"/>
      <c r="AH191" s="149"/>
      <c r="AI191" s="149"/>
    </row>
    <row r="192" spans="1:35" ht="48">
      <c r="A192" s="150" t="s">
        <v>49</v>
      </c>
      <c r="B192" s="151">
        <v>43</v>
      </c>
      <c r="C192" s="254" t="s">
        <v>27</v>
      </c>
      <c r="D192" s="151">
        <v>3434</v>
      </c>
      <c r="E192" s="227" t="s">
        <v>94</v>
      </c>
      <c r="F192" s="148" t="s">
        <v>687</v>
      </c>
      <c r="G192" s="883"/>
      <c r="H192" s="879"/>
      <c r="I192" s="880"/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  <c r="AE192" s="149"/>
      <c r="AF192" s="149"/>
      <c r="AG192" s="149"/>
      <c r="AH192" s="149"/>
      <c r="AI192" s="149"/>
    </row>
    <row r="193" spans="1:35" ht="48">
      <c r="A193" s="150" t="s">
        <v>49</v>
      </c>
      <c r="B193" s="151">
        <v>43</v>
      </c>
      <c r="C193" s="254" t="s">
        <v>27</v>
      </c>
      <c r="D193" s="151">
        <v>3522</v>
      </c>
      <c r="E193" s="227" t="s">
        <v>755</v>
      </c>
      <c r="F193" s="148" t="s">
        <v>687</v>
      </c>
      <c r="G193" s="883"/>
      <c r="H193" s="879"/>
      <c r="I193" s="880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  <c r="V193" s="149"/>
      <c r="W193" s="149"/>
      <c r="X193" s="149"/>
      <c r="Y193" s="149"/>
      <c r="Z193" s="149"/>
      <c r="AA193" s="149"/>
      <c r="AB193" s="149"/>
      <c r="AC193" s="149"/>
      <c r="AD193" s="149"/>
      <c r="AE193" s="149"/>
      <c r="AF193" s="149"/>
      <c r="AG193" s="149"/>
      <c r="AH193" s="149"/>
      <c r="AI193" s="149"/>
    </row>
    <row r="194" spans="1:35" ht="84">
      <c r="A194" s="150" t="s">
        <v>49</v>
      </c>
      <c r="B194" s="151">
        <v>43</v>
      </c>
      <c r="C194" s="254" t="s">
        <v>27</v>
      </c>
      <c r="D194" s="151">
        <v>3691</v>
      </c>
      <c r="E194" s="227" t="s">
        <v>36</v>
      </c>
      <c r="F194" s="148" t="s">
        <v>687</v>
      </c>
      <c r="G194" s="883"/>
      <c r="H194" s="879"/>
      <c r="I194" s="880"/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49"/>
      <c r="U194" s="149"/>
      <c r="V194" s="149"/>
      <c r="W194" s="149"/>
      <c r="X194" s="149"/>
      <c r="Y194" s="149"/>
      <c r="Z194" s="149"/>
      <c r="AA194" s="149"/>
      <c r="AB194" s="149"/>
      <c r="AC194" s="149"/>
      <c r="AD194" s="149"/>
      <c r="AE194" s="149"/>
      <c r="AF194" s="149"/>
      <c r="AG194" s="149"/>
      <c r="AH194" s="149"/>
      <c r="AI194" s="149"/>
    </row>
    <row r="195" spans="1:35" ht="84">
      <c r="A195" s="150" t="s">
        <v>49</v>
      </c>
      <c r="B195" s="151">
        <v>43</v>
      </c>
      <c r="C195" s="254" t="s">
        <v>27</v>
      </c>
      <c r="D195" s="151">
        <v>3692</v>
      </c>
      <c r="E195" s="227" t="s">
        <v>695</v>
      </c>
      <c r="F195" s="148" t="s">
        <v>687</v>
      </c>
      <c r="G195" s="883"/>
      <c r="H195" s="879"/>
      <c r="I195" s="880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  <c r="T195" s="149"/>
      <c r="U195" s="149"/>
      <c r="V195" s="149"/>
      <c r="W195" s="149"/>
      <c r="X195" s="149"/>
      <c r="Y195" s="149"/>
      <c r="Z195" s="149"/>
      <c r="AA195" s="149"/>
      <c r="AB195" s="149"/>
      <c r="AC195" s="149"/>
      <c r="AD195" s="149"/>
      <c r="AE195" s="149"/>
      <c r="AF195" s="149"/>
      <c r="AG195" s="149"/>
      <c r="AH195" s="149"/>
      <c r="AI195" s="149"/>
    </row>
    <row r="196" spans="1:35" ht="48">
      <c r="A196" s="150" t="s">
        <v>49</v>
      </c>
      <c r="B196" s="151">
        <v>43</v>
      </c>
      <c r="C196" s="254" t="s">
        <v>27</v>
      </c>
      <c r="D196" s="151">
        <v>3721</v>
      </c>
      <c r="E196" s="227" t="s">
        <v>84</v>
      </c>
      <c r="F196" s="148" t="s">
        <v>687</v>
      </c>
      <c r="G196" s="883"/>
      <c r="H196" s="879"/>
      <c r="I196" s="880"/>
      <c r="J196" s="149"/>
      <c r="K196" s="149"/>
      <c r="L196" s="149"/>
      <c r="M196" s="149"/>
      <c r="N196" s="149"/>
      <c r="O196" s="149"/>
      <c r="P196" s="149"/>
      <c r="Q196" s="149"/>
      <c r="R196" s="149"/>
      <c r="S196" s="149"/>
      <c r="T196" s="149"/>
      <c r="U196" s="149"/>
      <c r="V196" s="149"/>
      <c r="W196" s="149"/>
      <c r="X196" s="149"/>
      <c r="Y196" s="149"/>
      <c r="Z196" s="149"/>
      <c r="AA196" s="149"/>
      <c r="AB196" s="149"/>
      <c r="AC196" s="149"/>
      <c r="AD196" s="149"/>
      <c r="AE196" s="149"/>
      <c r="AF196" s="149"/>
      <c r="AG196" s="149"/>
      <c r="AH196" s="149"/>
      <c r="AI196" s="149"/>
    </row>
    <row r="197" spans="1:35" ht="48">
      <c r="A197" s="150" t="s">
        <v>49</v>
      </c>
      <c r="B197" s="151">
        <v>43</v>
      </c>
      <c r="C197" s="254" t="s">
        <v>27</v>
      </c>
      <c r="D197" s="151">
        <v>3811</v>
      </c>
      <c r="E197" s="227" t="s">
        <v>56</v>
      </c>
      <c r="F197" s="148" t="s">
        <v>687</v>
      </c>
      <c r="G197" s="883"/>
      <c r="H197" s="879"/>
      <c r="I197" s="880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  <c r="T197" s="149"/>
      <c r="U197" s="149"/>
      <c r="V197" s="149"/>
      <c r="W197" s="149"/>
      <c r="X197" s="149"/>
      <c r="Y197" s="149"/>
      <c r="Z197" s="149"/>
      <c r="AA197" s="149"/>
      <c r="AB197" s="149"/>
      <c r="AC197" s="149"/>
      <c r="AD197" s="149"/>
      <c r="AE197" s="149"/>
      <c r="AF197" s="149"/>
      <c r="AG197" s="149"/>
      <c r="AH197" s="149"/>
      <c r="AI197" s="149"/>
    </row>
    <row r="198" spans="1:35" ht="48">
      <c r="A198" s="150" t="s">
        <v>49</v>
      </c>
      <c r="B198" s="151">
        <v>43</v>
      </c>
      <c r="C198" s="254" t="s">
        <v>27</v>
      </c>
      <c r="D198" s="151">
        <v>383</v>
      </c>
      <c r="E198" s="227" t="s">
        <v>756</v>
      </c>
      <c r="F198" s="148" t="s">
        <v>687</v>
      </c>
      <c r="G198" s="883"/>
      <c r="H198" s="879"/>
      <c r="I198" s="880"/>
      <c r="J198" s="149"/>
      <c r="K198" s="149"/>
      <c r="L198" s="149"/>
      <c r="M198" s="149"/>
      <c r="N198" s="149"/>
      <c r="O198" s="149"/>
      <c r="P198" s="149"/>
      <c r="Q198" s="149"/>
      <c r="R198" s="149"/>
      <c r="S198" s="149"/>
      <c r="T198" s="149"/>
      <c r="U198" s="149"/>
      <c r="V198" s="149"/>
      <c r="W198" s="149"/>
      <c r="X198" s="149"/>
      <c r="Y198" s="149"/>
      <c r="Z198" s="149"/>
      <c r="AA198" s="149"/>
      <c r="AB198" s="149"/>
      <c r="AC198" s="149"/>
      <c r="AD198" s="149"/>
      <c r="AE198" s="149"/>
      <c r="AF198" s="149"/>
      <c r="AG198" s="149"/>
      <c r="AH198" s="149"/>
      <c r="AI198" s="149"/>
    </row>
    <row r="199" spans="1:35" ht="48">
      <c r="A199" s="150" t="s">
        <v>49</v>
      </c>
      <c r="B199" s="151">
        <v>43</v>
      </c>
      <c r="C199" s="254" t="s">
        <v>27</v>
      </c>
      <c r="D199" s="151">
        <v>4123</v>
      </c>
      <c r="E199" s="227" t="s">
        <v>92</v>
      </c>
      <c r="F199" s="148" t="s">
        <v>687</v>
      </c>
      <c r="G199" s="883"/>
      <c r="H199" s="879"/>
      <c r="I199" s="880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  <c r="T199" s="149"/>
      <c r="U199" s="149"/>
      <c r="V199" s="149"/>
      <c r="W199" s="149"/>
      <c r="X199" s="149"/>
      <c r="Y199" s="149"/>
      <c r="Z199" s="149"/>
      <c r="AA199" s="149"/>
      <c r="AB199" s="149"/>
      <c r="AC199" s="149"/>
      <c r="AD199" s="149"/>
      <c r="AE199" s="149"/>
      <c r="AF199" s="149"/>
      <c r="AG199" s="149"/>
      <c r="AH199" s="149"/>
      <c r="AI199" s="149"/>
    </row>
    <row r="200" spans="1:35" ht="60">
      <c r="A200" s="150" t="s">
        <v>49</v>
      </c>
      <c r="B200" s="151">
        <v>43</v>
      </c>
      <c r="C200" s="254" t="s">
        <v>27</v>
      </c>
      <c r="D200" s="151">
        <v>4124</v>
      </c>
      <c r="E200" s="227" t="s">
        <v>721</v>
      </c>
      <c r="F200" s="148" t="s">
        <v>687</v>
      </c>
      <c r="G200" s="883"/>
      <c r="H200" s="879"/>
      <c r="I200" s="880"/>
      <c r="J200" s="149"/>
      <c r="K200" s="149"/>
      <c r="L200" s="149"/>
      <c r="M200" s="149"/>
      <c r="N200" s="149"/>
      <c r="O200" s="149"/>
      <c r="P200" s="149"/>
      <c r="Q200" s="149"/>
      <c r="R200" s="149"/>
      <c r="S200" s="149"/>
      <c r="T200" s="149"/>
      <c r="U200" s="149"/>
      <c r="V200" s="149"/>
      <c r="W200" s="149"/>
      <c r="X200" s="149"/>
      <c r="Y200" s="149"/>
      <c r="Z200" s="149"/>
      <c r="AA200" s="149"/>
      <c r="AB200" s="149"/>
      <c r="AC200" s="149"/>
      <c r="AD200" s="149"/>
      <c r="AE200" s="149"/>
      <c r="AF200" s="149"/>
      <c r="AG200" s="149"/>
      <c r="AH200" s="149"/>
      <c r="AI200" s="149"/>
    </row>
    <row r="201" spans="1:35" ht="48">
      <c r="A201" s="150" t="s">
        <v>49</v>
      </c>
      <c r="B201" s="151">
        <v>43</v>
      </c>
      <c r="C201" s="254" t="s">
        <v>27</v>
      </c>
      <c r="D201" s="151">
        <v>4126</v>
      </c>
      <c r="E201" s="227" t="s">
        <v>757</v>
      </c>
      <c r="F201" s="148" t="s">
        <v>687</v>
      </c>
      <c r="G201" s="883"/>
      <c r="H201" s="879"/>
      <c r="I201" s="880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  <c r="T201" s="149"/>
      <c r="U201" s="149"/>
      <c r="V201" s="149"/>
      <c r="W201" s="149"/>
      <c r="X201" s="149"/>
      <c r="Y201" s="149"/>
      <c r="Z201" s="149"/>
      <c r="AA201" s="149"/>
      <c r="AB201" s="149"/>
      <c r="AC201" s="149"/>
      <c r="AD201" s="149"/>
      <c r="AE201" s="149"/>
      <c r="AF201" s="149"/>
      <c r="AG201" s="149"/>
      <c r="AH201" s="149"/>
      <c r="AI201" s="149"/>
    </row>
    <row r="202" spans="1:35" ht="48">
      <c r="A202" s="150" t="s">
        <v>49</v>
      </c>
      <c r="B202" s="151">
        <v>43</v>
      </c>
      <c r="C202" s="254" t="s">
        <v>27</v>
      </c>
      <c r="D202" s="151">
        <v>4212</v>
      </c>
      <c r="E202" s="227" t="s">
        <v>58</v>
      </c>
      <c r="F202" s="148" t="s">
        <v>687</v>
      </c>
      <c r="G202" s="883"/>
      <c r="H202" s="879"/>
      <c r="I202" s="880"/>
      <c r="J202" s="149"/>
      <c r="K202" s="149"/>
      <c r="L202" s="149"/>
      <c r="M202" s="149"/>
      <c r="N202" s="149"/>
      <c r="O202" s="149"/>
      <c r="P202" s="149"/>
      <c r="Q202" s="149"/>
      <c r="R202" s="149"/>
      <c r="S202" s="149"/>
      <c r="T202" s="149"/>
      <c r="U202" s="149"/>
      <c r="V202" s="149"/>
      <c r="W202" s="149"/>
      <c r="X202" s="149"/>
      <c r="Y202" s="149"/>
      <c r="Z202" s="149"/>
      <c r="AA202" s="149"/>
      <c r="AB202" s="149"/>
      <c r="AC202" s="149"/>
      <c r="AD202" s="149"/>
      <c r="AE202" s="149"/>
      <c r="AF202" s="149"/>
      <c r="AG202" s="149"/>
      <c r="AH202" s="149"/>
      <c r="AI202" s="149"/>
    </row>
    <row r="203" spans="1:35" ht="60">
      <c r="A203" s="150" t="s">
        <v>49</v>
      </c>
      <c r="B203" s="151">
        <v>43</v>
      </c>
      <c r="C203" s="254" t="s">
        <v>27</v>
      </c>
      <c r="D203" s="151">
        <v>4213</v>
      </c>
      <c r="E203" s="227" t="s">
        <v>758</v>
      </c>
      <c r="F203" s="148" t="s">
        <v>687</v>
      </c>
      <c r="G203" s="883"/>
      <c r="H203" s="879"/>
      <c r="I203" s="880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  <c r="T203" s="149"/>
      <c r="U203" s="149"/>
      <c r="V203" s="149"/>
      <c r="W203" s="149"/>
      <c r="X203" s="149"/>
      <c r="Y203" s="149"/>
      <c r="Z203" s="149"/>
      <c r="AA203" s="149"/>
      <c r="AB203" s="149"/>
      <c r="AC203" s="149"/>
      <c r="AD203" s="149"/>
      <c r="AE203" s="149"/>
      <c r="AF203" s="149"/>
      <c r="AG203" s="149"/>
      <c r="AH203" s="149"/>
      <c r="AI203" s="149"/>
    </row>
    <row r="204" spans="1:35" ht="48">
      <c r="A204" s="150" t="s">
        <v>49</v>
      </c>
      <c r="B204" s="151">
        <v>43</v>
      </c>
      <c r="C204" s="254" t="s">
        <v>27</v>
      </c>
      <c r="D204" s="151">
        <v>4214</v>
      </c>
      <c r="E204" s="227" t="s">
        <v>719</v>
      </c>
      <c r="F204" s="148" t="s">
        <v>687</v>
      </c>
      <c r="G204" s="883"/>
      <c r="H204" s="879"/>
      <c r="I204" s="880"/>
      <c r="J204" s="149"/>
      <c r="K204" s="149"/>
      <c r="L204" s="149"/>
      <c r="M204" s="149"/>
      <c r="N204" s="149"/>
      <c r="O204" s="149"/>
      <c r="P204" s="149"/>
      <c r="Q204" s="149"/>
      <c r="R204" s="149"/>
      <c r="S204" s="149"/>
      <c r="T204" s="149"/>
      <c r="U204" s="149"/>
      <c r="V204" s="149"/>
      <c r="W204" s="149"/>
      <c r="X204" s="149"/>
      <c r="Y204" s="149"/>
      <c r="Z204" s="149"/>
      <c r="AA204" s="149"/>
      <c r="AB204" s="149"/>
      <c r="AC204" s="149"/>
      <c r="AD204" s="149"/>
      <c r="AE204" s="149"/>
      <c r="AF204" s="149"/>
      <c r="AG204" s="149"/>
      <c r="AH204" s="149"/>
      <c r="AI204" s="149"/>
    </row>
    <row r="205" spans="1:35" ht="48">
      <c r="A205" s="150" t="s">
        <v>49</v>
      </c>
      <c r="B205" s="151">
        <v>43</v>
      </c>
      <c r="C205" s="254" t="s">
        <v>27</v>
      </c>
      <c r="D205" s="151">
        <v>4221</v>
      </c>
      <c r="E205" s="227" t="s">
        <v>63</v>
      </c>
      <c r="F205" s="148" t="s">
        <v>687</v>
      </c>
      <c r="G205" s="503"/>
      <c r="H205" s="879"/>
      <c r="I205" s="880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49"/>
      <c r="U205" s="149"/>
      <c r="V205" s="149"/>
      <c r="W205" s="149"/>
      <c r="X205" s="149"/>
      <c r="Y205" s="149"/>
      <c r="Z205" s="149"/>
      <c r="AA205" s="149"/>
      <c r="AB205" s="149"/>
      <c r="AC205" s="149"/>
      <c r="AD205" s="149"/>
      <c r="AE205" s="149"/>
      <c r="AF205" s="149"/>
      <c r="AG205" s="149"/>
      <c r="AH205" s="149"/>
      <c r="AI205" s="149"/>
    </row>
    <row r="206" spans="1:35" ht="48">
      <c r="A206" s="150" t="s">
        <v>49</v>
      </c>
      <c r="B206" s="151">
        <v>43</v>
      </c>
      <c r="C206" s="254" t="s">
        <v>27</v>
      </c>
      <c r="D206" s="151">
        <v>4222</v>
      </c>
      <c r="E206" s="227" t="s">
        <v>72</v>
      </c>
      <c r="F206" s="148" t="s">
        <v>687</v>
      </c>
      <c r="G206" s="503"/>
      <c r="H206" s="879"/>
      <c r="I206" s="880"/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49"/>
      <c r="U206" s="149"/>
      <c r="V206" s="149"/>
      <c r="W206" s="149"/>
      <c r="X206" s="149"/>
      <c r="Y206" s="149"/>
      <c r="Z206" s="149"/>
      <c r="AA206" s="149"/>
      <c r="AB206" s="149"/>
      <c r="AC206" s="149"/>
      <c r="AD206" s="149"/>
      <c r="AE206" s="149"/>
      <c r="AF206" s="149"/>
      <c r="AG206" s="149"/>
      <c r="AH206" s="149"/>
      <c r="AI206" s="149"/>
    </row>
    <row r="207" spans="1:35" ht="48">
      <c r="A207" s="150" t="s">
        <v>49</v>
      </c>
      <c r="B207" s="151">
        <v>43</v>
      </c>
      <c r="C207" s="254" t="s">
        <v>27</v>
      </c>
      <c r="D207" s="151">
        <v>4223</v>
      </c>
      <c r="E207" s="227" t="s">
        <v>90</v>
      </c>
      <c r="F207" s="148" t="s">
        <v>687</v>
      </c>
      <c r="G207" s="503"/>
      <c r="H207" s="879"/>
      <c r="I207" s="880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  <c r="T207" s="149"/>
      <c r="U207" s="149"/>
      <c r="V207" s="149"/>
      <c r="W207" s="149"/>
      <c r="X207" s="149"/>
      <c r="Y207" s="149"/>
      <c r="Z207" s="149"/>
      <c r="AA207" s="149"/>
      <c r="AB207" s="149"/>
      <c r="AC207" s="149"/>
      <c r="AD207" s="149"/>
      <c r="AE207" s="149"/>
      <c r="AF207" s="149"/>
      <c r="AG207" s="149"/>
      <c r="AH207" s="149"/>
      <c r="AI207" s="149"/>
    </row>
    <row r="208" spans="1:35" ht="48">
      <c r="A208" s="150" t="s">
        <v>49</v>
      </c>
      <c r="B208" s="151">
        <v>43</v>
      </c>
      <c r="C208" s="254" t="s">
        <v>27</v>
      </c>
      <c r="D208" s="151">
        <v>4224</v>
      </c>
      <c r="E208" s="227" t="s">
        <v>73</v>
      </c>
      <c r="F208" s="148" t="s">
        <v>687</v>
      </c>
      <c r="G208" s="503"/>
      <c r="H208" s="879"/>
      <c r="I208" s="880"/>
      <c r="J208" s="149"/>
      <c r="K208" s="149"/>
      <c r="L208" s="149"/>
      <c r="M208" s="149"/>
      <c r="N208" s="149"/>
      <c r="O208" s="149"/>
      <c r="P208" s="149"/>
      <c r="Q208" s="149"/>
      <c r="R208" s="149"/>
      <c r="S208" s="149"/>
      <c r="T208" s="149"/>
      <c r="U208" s="149"/>
      <c r="V208" s="149"/>
      <c r="W208" s="149"/>
      <c r="X208" s="149"/>
      <c r="Y208" s="149"/>
      <c r="Z208" s="149"/>
      <c r="AA208" s="149"/>
      <c r="AB208" s="149"/>
      <c r="AC208" s="149"/>
      <c r="AD208" s="149"/>
      <c r="AE208" s="149"/>
      <c r="AF208" s="149"/>
      <c r="AG208" s="149"/>
      <c r="AH208" s="149"/>
      <c r="AI208" s="149"/>
    </row>
    <row r="209" spans="1:35" ht="48">
      <c r="A209" s="150" t="s">
        <v>49</v>
      </c>
      <c r="B209" s="151">
        <v>43</v>
      </c>
      <c r="C209" s="254" t="s">
        <v>27</v>
      </c>
      <c r="D209" s="151">
        <v>4225</v>
      </c>
      <c r="E209" s="227" t="s">
        <v>85</v>
      </c>
      <c r="F209" s="148" t="s">
        <v>687</v>
      </c>
      <c r="G209" s="503"/>
      <c r="H209" s="879"/>
      <c r="I209" s="880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  <c r="T209" s="149"/>
      <c r="U209" s="149"/>
      <c r="V209" s="149"/>
      <c r="W209" s="149"/>
      <c r="X209" s="149"/>
      <c r="Y209" s="149"/>
      <c r="Z209" s="149"/>
      <c r="AA209" s="149"/>
      <c r="AB209" s="149"/>
      <c r="AC209" s="149"/>
      <c r="AD209" s="149"/>
      <c r="AE209" s="149"/>
      <c r="AF209" s="149"/>
      <c r="AG209" s="149"/>
      <c r="AH209" s="149"/>
      <c r="AI209" s="149"/>
    </row>
    <row r="210" spans="1:35" ht="48">
      <c r="A210" s="150" t="s">
        <v>49</v>
      </c>
      <c r="B210" s="151">
        <v>43</v>
      </c>
      <c r="C210" s="254" t="s">
        <v>27</v>
      </c>
      <c r="D210" s="151">
        <v>4226</v>
      </c>
      <c r="E210" s="227" t="s">
        <v>716</v>
      </c>
      <c r="F210" s="148" t="s">
        <v>687</v>
      </c>
      <c r="G210" s="503"/>
      <c r="H210" s="879"/>
      <c r="I210" s="880"/>
      <c r="J210" s="149"/>
      <c r="K210" s="149"/>
      <c r="L210" s="149"/>
      <c r="M210" s="149"/>
      <c r="N210" s="149"/>
      <c r="O210" s="149"/>
      <c r="P210" s="149"/>
      <c r="Q210" s="149"/>
      <c r="R210" s="149"/>
      <c r="S210" s="149"/>
      <c r="T210" s="149"/>
      <c r="U210" s="149"/>
      <c r="V210" s="149"/>
      <c r="W210" s="149"/>
      <c r="X210" s="149"/>
      <c r="Y210" s="149"/>
      <c r="Z210" s="149"/>
      <c r="AA210" s="149"/>
      <c r="AB210" s="149"/>
      <c r="AC210" s="149"/>
      <c r="AD210" s="149"/>
      <c r="AE210" s="149"/>
      <c r="AF210" s="149"/>
      <c r="AG210" s="149"/>
      <c r="AH210" s="149"/>
      <c r="AI210" s="149"/>
    </row>
    <row r="211" spans="1:35" ht="60">
      <c r="A211" s="150" t="s">
        <v>49</v>
      </c>
      <c r="B211" s="151">
        <v>43</v>
      </c>
      <c r="C211" s="254" t="s">
        <v>27</v>
      </c>
      <c r="D211" s="151">
        <v>4227</v>
      </c>
      <c r="E211" s="227" t="s">
        <v>93</v>
      </c>
      <c r="F211" s="148" t="s">
        <v>687</v>
      </c>
      <c r="G211" s="503"/>
      <c r="H211" s="879"/>
      <c r="I211" s="880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  <c r="T211" s="149"/>
      <c r="U211" s="149"/>
      <c r="V211" s="149"/>
      <c r="W211" s="149"/>
      <c r="X211" s="149"/>
      <c r="Y211" s="149"/>
      <c r="Z211" s="149"/>
      <c r="AA211" s="149"/>
      <c r="AB211" s="149"/>
      <c r="AC211" s="149"/>
      <c r="AD211" s="149"/>
      <c r="AE211" s="149"/>
      <c r="AF211" s="149"/>
      <c r="AG211" s="149"/>
      <c r="AH211" s="149"/>
      <c r="AI211" s="149"/>
    </row>
    <row r="212" spans="1:35" ht="48">
      <c r="A212" s="150" t="s">
        <v>49</v>
      </c>
      <c r="B212" s="151">
        <v>43</v>
      </c>
      <c r="C212" s="254" t="s">
        <v>27</v>
      </c>
      <c r="D212" s="151">
        <v>4231</v>
      </c>
      <c r="E212" s="227" t="s">
        <v>98</v>
      </c>
      <c r="F212" s="148" t="s">
        <v>687</v>
      </c>
      <c r="G212" s="503"/>
      <c r="H212" s="879"/>
      <c r="I212" s="880"/>
      <c r="J212" s="149"/>
      <c r="K212" s="149"/>
      <c r="L212" s="149"/>
      <c r="M212" s="149"/>
      <c r="N212" s="149"/>
      <c r="O212" s="149"/>
      <c r="P212" s="149"/>
      <c r="Q212" s="149"/>
      <c r="R212" s="149"/>
      <c r="S212" s="149"/>
      <c r="T212" s="149"/>
      <c r="U212" s="149"/>
      <c r="V212" s="149"/>
      <c r="W212" s="149"/>
      <c r="X212" s="149"/>
      <c r="Y212" s="149"/>
      <c r="Z212" s="149"/>
      <c r="AA212" s="149"/>
      <c r="AB212" s="149"/>
      <c r="AC212" s="149"/>
      <c r="AD212" s="149"/>
      <c r="AE212" s="149"/>
      <c r="AF212" s="149"/>
      <c r="AG212" s="149"/>
      <c r="AH212" s="149"/>
      <c r="AI212" s="149"/>
    </row>
    <row r="213" spans="1:35" ht="60">
      <c r="A213" s="150" t="s">
        <v>49</v>
      </c>
      <c r="B213" s="151">
        <v>43</v>
      </c>
      <c r="C213" s="254" t="s">
        <v>27</v>
      </c>
      <c r="D213" s="151">
        <v>4233</v>
      </c>
      <c r="E213" s="227" t="s">
        <v>759</v>
      </c>
      <c r="F213" s="148" t="s">
        <v>687</v>
      </c>
      <c r="G213" s="883"/>
      <c r="H213" s="879"/>
      <c r="I213" s="880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  <c r="T213" s="149"/>
      <c r="U213" s="149"/>
      <c r="V213" s="149"/>
      <c r="W213" s="149"/>
      <c r="X213" s="149"/>
      <c r="Y213" s="149"/>
      <c r="Z213" s="149"/>
      <c r="AA213" s="149"/>
      <c r="AB213" s="149"/>
      <c r="AC213" s="149"/>
      <c r="AD213" s="149"/>
      <c r="AE213" s="149"/>
      <c r="AF213" s="149"/>
      <c r="AG213" s="149"/>
      <c r="AH213" s="149"/>
      <c r="AI213" s="149"/>
    </row>
    <row r="214" spans="1:35" ht="48">
      <c r="A214" s="150" t="s">
        <v>49</v>
      </c>
      <c r="B214" s="151">
        <v>43</v>
      </c>
      <c r="C214" s="254" t="s">
        <v>27</v>
      </c>
      <c r="D214" s="151">
        <v>4241</v>
      </c>
      <c r="E214" s="227" t="s">
        <v>74</v>
      </c>
      <c r="F214" s="148" t="s">
        <v>687</v>
      </c>
      <c r="G214" s="503"/>
      <c r="H214" s="879"/>
      <c r="I214" s="880"/>
      <c r="J214" s="149"/>
      <c r="K214" s="149"/>
      <c r="L214" s="149"/>
      <c r="M214" s="149"/>
      <c r="N214" s="149"/>
      <c r="O214" s="149"/>
      <c r="P214" s="149"/>
      <c r="Q214" s="149"/>
      <c r="R214" s="149"/>
      <c r="S214" s="149"/>
      <c r="T214" s="149"/>
      <c r="U214" s="149"/>
      <c r="V214" s="149"/>
      <c r="W214" s="149"/>
      <c r="X214" s="149"/>
      <c r="Y214" s="149"/>
      <c r="Z214" s="149"/>
      <c r="AA214" s="149"/>
      <c r="AB214" s="149"/>
      <c r="AC214" s="149"/>
      <c r="AD214" s="149"/>
      <c r="AE214" s="149"/>
      <c r="AF214" s="149"/>
      <c r="AG214" s="149"/>
      <c r="AH214" s="149"/>
      <c r="AI214" s="149"/>
    </row>
    <row r="215" spans="1:35" ht="48">
      <c r="A215" s="150" t="s">
        <v>49</v>
      </c>
      <c r="B215" s="151">
        <v>43</v>
      </c>
      <c r="C215" s="254" t="s">
        <v>27</v>
      </c>
      <c r="D215" s="151">
        <v>4244</v>
      </c>
      <c r="E215" s="227" t="s">
        <v>760</v>
      </c>
      <c r="F215" s="148" t="s">
        <v>687</v>
      </c>
      <c r="G215" s="883"/>
      <c r="H215" s="879"/>
      <c r="I215" s="880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  <c r="T215" s="149"/>
      <c r="U215" s="149"/>
      <c r="V215" s="149"/>
      <c r="W215" s="149"/>
      <c r="X215" s="149"/>
      <c r="Y215" s="149"/>
      <c r="Z215" s="149"/>
      <c r="AA215" s="149"/>
      <c r="AB215" s="149"/>
      <c r="AC215" s="149"/>
      <c r="AD215" s="149"/>
      <c r="AE215" s="149"/>
      <c r="AF215" s="149"/>
      <c r="AG215" s="149"/>
      <c r="AH215" s="149"/>
      <c r="AI215" s="149"/>
    </row>
    <row r="216" spans="1:35" ht="48">
      <c r="A216" s="150" t="s">
        <v>49</v>
      </c>
      <c r="B216" s="151">
        <v>43</v>
      </c>
      <c r="C216" s="254" t="s">
        <v>27</v>
      </c>
      <c r="D216" s="151">
        <v>4262</v>
      </c>
      <c r="E216" s="227" t="s">
        <v>86</v>
      </c>
      <c r="F216" s="148" t="s">
        <v>687</v>
      </c>
      <c r="G216" s="883"/>
      <c r="H216" s="879"/>
      <c r="I216" s="880"/>
      <c r="J216" s="149"/>
      <c r="K216" s="149"/>
      <c r="L216" s="149"/>
      <c r="M216" s="149"/>
      <c r="N216" s="149"/>
      <c r="O216" s="149"/>
      <c r="P216" s="149"/>
      <c r="Q216" s="149"/>
      <c r="R216" s="149"/>
      <c r="S216" s="149"/>
      <c r="T216" s="149"/>
      <c r="U216" s="149"/>
      <c r="V216" s="149"/>
      <c r="W216" s="149"/>
      <c r="X216" s="149"/>
      <c r="Y216" s="149"/>
      <c r="Z216" s="149"/>
      <c r="AA216" s="149"/>
      <c r="AB216" s="149"/>
      <c r="AC216" s="149"/>
      <c r="AD216" s="149"/>
      <c r="AE216" s="149"/>
      <c r="AF216" s="149"/>
      <c r="AG216" s="149"/>
      <c r="AH216" s="149"/>
      <c r="AI216" s="149"/>
    </row>
    <row r="217" spans="1:35" ht="60">
      <c r="A217" s="150" t="s">
        <v>49</v>
      </c>
      <c r="B217" s="151">
        <v>43</v>
      </c>
      <c r="C217" s="254" t="s">
        <v>27</v>
      </c>
      <c r="D217" s="151">
        <v>4264</v>
      </c>
      <c r="E217" s="227" t="s">
        <v>761</v>
      </c>
      <c r="F217" s="148" t="s">
        <v>687</v>
      </c>
      <c r="G217" s="883"/>
      <c r="H217" s="879"/>
      <c r="I217" s="880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  <c r="T217" s="149"/>
      <c r="U217" s="149"/>
      <c r="V217" s="149"/>
      <c r="W217" s="149"/>
      <c r="X217" s="149"/>
      <c r="Y217" s="149"/>
      <c r="Z217" s="149"/>
      <c r="AA217" s="149"/>
      <c r="AB217" s="149"/>
      <c r="AC217" s="149"/>
      <c r="AD217" s="149"/>
      <c r="AE217" s="149"/>
      <c r="AF217" s="149"/>
      <c r="AG217" s="149"/>
      <c r="AH217" s="149"/>
      <c r="AI217" s="149"/>
    </row>
    <row r="218" spans="1:35" ht="60">
      <c r="A218" s="150" t="s">
        <v>49</v>
      </c>
      <c r="B218" s="151">
        <v>43</v>
      </c>
      <c r="C218" s="254" t="s">
        <v>27</v>
      </c>
      <c r="D218" s="151">
        <v>4312</v>
      </c>
      <c r="E218" s="227" t="s">
        <v>684</v>
      </c>
      <c r="F218" s="148" t="s">
        <v>687</v>
      </c>
      <c r="G218" s="883"/>
      <c r="H218" s="879"/>
      <c r="I218" s="880"/>
      <c r="J218" s="149"/>
      <c r="K218" s="149"/>
      <c r="L218" s="149"/>
      <c r="M218" s="149"/>
      <c r="N218" s="149"/>
      <c r="O218" s="149"/>
      <c r="P218" s="149"/>
      <c r="Q218" s="149"/>
      <c r="R218" s="149"/>
      <c r="S218" s="149"/>
      <c r="T218" s="149"/>
      <c r="U218" s="149"/>
      <c r="V218" s="149"/>
      <c r="W218" s="149"/>
      <c r="X218" s="149"/>
      <c r="Y218" s="149"/>
      <c r="Z218" s="149"/>
      <c r="AA218" s="149"/>
      <c r="AB218" s="149"/>
      <c r="AC218" s="149"/>
      <c r="AD218" s="149"/>
      <c r="AE218" s="149"/>
      <c r="AF218" s="149"/>
      <c r="AG218" s="149"/>
      <c r="AH218" s="149"/>
      <c r="AI218" s="149"/>
    </row>
    <row r="219" spans="1:35" ht="48">
      <c r="A219" s="150" t="s">
        <v>49</v>
      </c>
      <c r="B219" s="151">
        <v>43</v>
      </c>
      <c r="C219" s="254" t="s">
        <v>27</v>
      </c>
      <c r="D219" s="155">
        <v>4511</v>
      </c>
      <c r="E219" s="228" t="s">
        <v>91</v>
      </c>
      <c r="F219" s="148" t="s">
        <v>687</v>
      </c>
      <c r="G219" s="883"/>
      <c r="H219" s="879"/>
      <c r="I219" s="880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  <c r="T219" s="149"/>
      <c r="U219" s="149"/>
      <c r="V219" s="149"/>
      <c r="W219" s="149"/>
      <c r="X219" s="149"/>
      <c r="Y219" s="149"/>
      <c r="Z219" s="149"/>
      <c r="AA219" s="149"/>
      <c r="AB219" s="149"/>
      <c r="AC219" s="149"/>
      <c r="AD219" s="149"/>
      <c r="AE219" s="149"/>
      <c r="AF219" s="149"/>
      <c r="AG219" s="149"/>
      <c r="AH219" s="149"/>
      <c r="AI219" s="149"/>
    </row>
    <row r="220" spans="1:35" ht="48.75" thickBot="1">
      <c r="A220" s="150" t="s">
        <v>49</v>
      </c>
      <c r="B220" s="151">
        <v>43</v>
      </c>
      <c r="C220" s="254" t="s">
        <v>27</v>
      </c>
      <c r="D220" s="155">
        <v>4521</v>
      </c>
      <c r="E220" s="228" t="s">
        <v>95</v>
      </c>
      <c r="F220" s="156" t="s">
        <v>687</v>
      </c>
      <c r="G220" s="883"/>
      <c r="H220" s="879"/>
      <c r="I220" s="880"/>
      <c r="J220" s="149"/>
      <c r="K220" s="149"/>
      <c r="L220" s="149"/>
      <c r="M220" s="149"/>
      <c r="N220" s="149"/>
      <c r="O220" s="149"/>
      <c r="P220" s="149"/>
      <c r="Q220" s="149"/>
      <c r="R220" s="149"/>
      <c r="S220" s="149"/>
      <c r="T220" s="149"/>
      <c r="U220" s="149"/>
      <c r="V220" s="149"/>
      <c r="W220" s="149"/>
      <c r="X220" s="149"/>
      <c r="Y220" s="149"/>
      <c r="Z220" s="149"/>
      <c r="AA220" s="149"/>
      <c r="AB220" s="149"/>
      <c r="AC220" s="149"/>
      <c r="AD220" s="149"/>
      <c r="AE220" s="149"/>
      <c r="AF220" s="149"/>
      <c r="AG220" s="149"/>
      <c r="AH220" s="149"/>
      <c r="AI220" s="149"/>
    </row>
    <row r="221" spans="1:35" s="166" customFormat="1" ht="36.75" thickBot="1">
      <c r="A221" s="157" t="s">
        <v>49</v>
      </c>
      <c r="B221" s="158">
        <v>43</v>
      </c>
      <c r="C221" s="256" t="s">
        <v>27</v>
      </c>
      <c r="D221" s="158"/>
      <c r="E221" s="229" t="s">
        <v>161</v>
      </c>
      <c r="F221" s="159" t="s">
        <v>687</v>
      </c>
      <c r="G221" s="881">
        <f>SUM(G154:G220)</f>
        <v>0</v>
      </c>
      <c r="H221" s="876">
        <f t="shared" ref="H221:I221" si="2">SUM(H154:H220)</f>
        <v>0</v>
      </c>
      <c r="I221" s="877">
        <f t="shared" si="2"/>
        <v>0</v>
      </c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  <c r="AA221" s="165"/>
      <c r="AB221" s="165"/>
      <c r="AC221" s="165"/>
      <c r="AD221" s="165"/>
      <c r="AE221" s="165"/>
      <c r="AF221" s="165"/>
      <c r="AG221" s="165"/>
      <c r="AH221" s="165"/>
      <c r="AI221" s="165"/>
    </row>
    <row r="222" spans="1:35" ht="48">
      <c r="A222" s="146" t="s">
        <v>49</v>
      </c>
      <c r="B222" s="147">
        <v>43</v>
      </c>
      <c r="C222" s="253" t="s">
        <v>27</v>
      </c>
      <c r="D222" s="147">
        <v>3111</v>
      </c>
      <c r="E222" s="226" t="s">
        <v>50</v>
      </c>
      <c r="F222" s="148" t="s">
        <v>686</v>
      </c>
      <c r="G222" s="570">
        <f>800000-620000</f>
        <v>180000</v>
      </c>
      <c r="H222" s="879">
        <v>623331.05000000005</v>
      </c>
      <c r="I222" s="880">
        <v>650000</v>
      </c>
      <c r="J222" s="149"/>
      <c r="K222" s="149"/>
      <c r="L222" s="149"/>
      <c r="M222" s="149"/>
      <c r="N222" s="149"/>
      <c r="O222" s="149"/>
      <c r="P222" s="149"/>
      <c r="Q222" s="149"/>
      <c r="R222" s="149"/>
      <c r="S222" s="149"/>
      <c r="T222" s="149"/>
      <c r="U222" s="149"/>
      <c r="V222" s="149"/>
      <c r="W222" s="149"/>
      <c r="X222" s="149"/>
      <c r="Y222" s="149"/>
      <c r="Z222" s="149"/>
      <c r="AA222" s="149"/>
      <c r="AB222" s="149"/>
      <c r="AC222" s="149"/>
      <c r="AD222" s="149"/>
      <c r="AE222" s="149"/>
      <c r="AF222" s="149"/>
      <c r="AG222" s="149"/>
      <c r="AH222" s="149"/>
      <c r="AI222" s="149"/>
    </row>
    <row r="223" spans="1:35" ht="48">
      <c r="A223" s="150" t="s">
        <v>49</v>
      </c>
      <c r="B223" s="151">
        <v>43</v>
      </c>
      <c r="C223" s="254" t="s">
        <v>27</v>
      </c>
      <c r="D223" s="147">
        <v>3112</v>
      </c>
      <c r="E223" s="226" t="s">
        <v>96</v>
      </c>
      <c r="F223" s="153" t="s">
        <v>686</v>
      </c>
      <c r="G223" s="503"/>
      <c r="H223" s="879"/>
      <c r="I223" s="880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  <c r="T223" s="149"/>
      <c r="U223" s="149"/>
      <c r="V223" s="149"/>
      <c r="W223" s="149"/>
      <c r="X223" s="149"/>
      <c r="Y223" s="149"/>
      <c r="Z223" s="149"/>
      <c r="AA223" s="149"/>
      <c r="AB223" s="149"/>
      <c r="AC223" s="149"/>
      <c r="AD223" s="149"/>
      <c r="AE223" s="149"/>
      <c r="AF223" s="149"/>
      <c r="AG223" s="149"/>
      <c r="AH223" s="149"/>
      <c r="AI223" s="149"/>
    </row>
    <row r="224" spans="1:35" ht="48">
      <c r="A224" s="150" t="s">
        <v>49</v>
      </c>
      <c r="B224" s="151">
        <v>43</v>
      </c>
      <c r="C224" s="254" t="s">
        <v>27</v>
      </c>
      <c r="D224" s="147">
        <v>3113</v>
      </c>
      <c r="E224" s="226" t="s">
        <v>751</v>
      </c>
      <c r="F224" s="153" t="s">
        <v>686</v>
      </c>
      <c r="G224" s="503"/>
      <c r="H224" s="879"/>
      <c r="I224" s="880"/>
      <c r="J224" s="149"/>
      <c r="K224" s="149"/>
      <c r="L224" s="149"/>
      <c r="M224" s="149"/>
      <c r="N224" s="149"/>
      <c r="O224" s="149"/>
      <c r="P224" s="149"/>
      <c r="Q224" s="149"/>
      <c r="R224" s="149"/>
      <c r="S224" s="149"/>
      <c r="T224" s="149"/>
      <c r="U224" s="149"/>
      <c r="V224" s="149"/>
      <c r="W224" s="149"/>
      <c r="X224" s="149"/>
      <c r="Y224" s="149"/>
      <c r="Z224" s="149"/>
      <c r="AA224" s="149"/>
      <c r="AB224" s="149"/>
      <c r="AC224" s="149"/>
      <c r="AD224" s="149"/>
      <c r="AE224" s="149"/>
      <c r="AF224" s="149"/>
      <c r="AG224" s="149"/>
      <c r="AH224" s="149"/>
      <c r="AI224" s="149"/>
    </row>
    <row r="225" spans="1:35" ht="48">
      <c r="A225" s="150" t="s">
        <v>49</v>
      </c>
      <c r="B225" s="151">
        <v>43</v>
      </c>
      <c r="C225" s="254" t="s">
        <v>27</v>
      </c>
      <c r="D225" s="147">
        <v>3114</v>
      </c>
      <c r="E225" s="226" t="s">
        <v>750</v>
      </c>
      <c r="F225" s="153" t="s">
        <v>686</v>
      </c>
      <c r="G225" s="883"/>
      <c r="H225" s="879"/>
      <c r="I225" s="880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  <c r="T225" s="149"/>
      <c r="U225" s="149"/>
      <c r="V225" s="149"/>
      <c r="W225" s="149"/>
      <c r="X225" s="149"/>
      <c r="Y225" s="149"/>
      <c r="Z225" s="149"/>
      <c r="AA225" s="149"/>
      <c r="AB225" s="149"/>
      <c r="AC225" s="149"/>
      <c r="AD225" s="149"/>
      <c r="AE225" s="149"/>
      <c r="AF225" s="149"/>
      <c r="AG225" s="149"/>
      <c r="AH225" s="149"/>
      <c r="AI225" s="149"/>
    </row>
    <row r="226" spans="1:35" ht="48">
      <c r="A226" s="150" t="s">
        <v>49</v>
      </c>
      <c r="B226" s="151">
        <v>43</v>
      </c>
      <c r="C226" s="254" t="s">
        <v>27</v>
      </c>
      <c r="D226" s="151">
        <v>3121</v>
      </c>
      <c r="E226" s="227" t="s">
        <v>51</v>
      </c>
      <c r="F226" s="153" t="s">
        <v>686</v>
      </c>
      <c r="G226" s="503">
        <v>223000</v>
      </c>
      <c r="H226" s="879">
        <f>33715+16000</f>
        <v>49715</v>
      </c>
      <c r="I226" s="880">
        <v>285000</v>
      </c>
      <c r="J226" s="149"/>
      <c r="K226" s="149"/>
      <c r="L226" s="149"/>
      <c r="M226" s="149"/>
      <c r="N226" s="149"/>
      <c r="O226" s="149"/>
      <c r="P226" s="149"/>
      <c r="Q226" s="149"/>
      <c r="R226" s="149"/>
      <c r="S226" s="149"/>
      <c r="T226" s="149"/>
      <c r="U226" s="149"/>
      <c r="V226" s="149"/>
      <c r="W226" s="149"/>
      <c r="X226" s="149"/>
      <c r="Y226" s="149"/>
      <c r="Z226" s="149"/>
      <c r="AA226" s="149"/>
      <c r="AB226" s="149"/>
      <c r="AC226" s="149"/>
      <c r="AD226" s="149"/>
      <c r="AE226" s="149"/>
      <c r="AF226" s="149"/>
      <c r="AG226" s="149"/>
      <c r="AH226" s="149"/>
      <c r="AI226" s="149"/>
    </row>
    <row r="227" spans="1:35" ht="48">
      <c r="A227" s="150" t="s">
        <v>49</v>
      </c>
      <c r="B227" s="151">
        <v>43</v>
      </c>
      <c r="C227" s="254" t="s">
        <v>27</v>
      </c>
      <c r="D227" s="151">
        <v>3131</v>
      </c>
      <c r="E227" s="227" t="s">
        <v>752</v>
      </c>
      <c r="F227" s="153" t="s">
        <v>686</v>
      </c>
      <c r="G227" s="883"/>
      <c r="H227" s="879"/>
      <c r="I227" s="880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  <c r="T227" s="149"/>
      <c r="U227" s="149"/>
      <c r="V227" s="149"/>
      <c r="W227" s="149"/>
      <c r="X227" s="149"/>
      <c r="Y227" s="149"/>
      <c r="Z227" s="149"/>
      <c r="AA227" s="149"/>
      <c r="AB227" s="149"/>
      <c r="AC227" s="149"/>
      <c r="AD227" s="149"/>
      <c r="AE227" s="149"/>
      <c r="AF227" s="149"/>
      <c r="AG227" s="149"/>
      <c r="AH227" s="149"/>
      <c r="AI227" s="149"/>
    </row>
    <row r="228" spans="1:35" ht="48">
      <c r="A228" s="150" t="s">
        <v>49</v>
      </c>
      <c r="B228" s="151">
        <v>43</v>
      </c>
      <c r="C228" s="254" t="s">
        <v>27</v>
      </c>
      <c r="D228" s="151">
        <v>3132</v>
      </c>
      <c r="E228" s="227" t="s">
        <v>52</v>
      </c>
      <c r="F228" s="153" t="s">
        <v>686</v>
      </c>
      <c r="G228" s="503">
        <f>132000-93616</f>
        <v>38384</v>
      </c>
      <c r="H228" s="879">
        <f>102849.59</f>
        <v>102849.59</v>
      </c>
      <c r="I228" s="880">
        <v>107250</v>
      </c>
      <c r="J228" s="149"/>
      <c r="K228" s="149"/>
      <c r="L228" s="149"/>
      <c r="M228" s="149"/>
      <c r="N228" s="149"/>
      <c r="O228" s="149"/>
      <c r="P228" s="149"/>
      <c r="Q228" s="149"/>
      <c r="R228" s="149"/>
      <c r="S228" s="149"/>
      <c r="T228" s="149"/>
      <c r="U228" s="149"/>
      <c r="V228" s="149"/>
      <c r="W228" s="149"/>
      <c r="X228" s="149"/>
      <c r="Y228" s="149"/>
      <c r="Z228" s="149"/>
      <c r="AA228" s="149"/>
      <c r="AB228" s="149"/>
      <c r="AC228" s="149"/>
      <c r="AD228" s="149"/>
      <c r="AE228" s="149"/>
      <c r="AF228" s="149"/>
      <c r="AG228" s="149"/>
      <c r="AH228" s="149"/>
      <c r="AI228" s="149"/>
    </row>
    <row r="229" spans="1:35" ht="72">
      <c r="A229" s="150" t="s">
        <v>49</v>
      </c>
      <c r="B229" s="151">
        <v>43</v>
      </c>
      <c r="C229" s="254" t="s">
        <v>27</v>
      </c>
      <c r="D229" s="151">
        <v>3133</v>
      </c>
      <c r="E229" s="227" t="s">
        <v>753</v>
      </c>
      <c r="F229" s="153" t="s">
        <v>686</v>
      </c>
      <c r="G229" s="883"/>
      <c r="H229" s="879"/>
      <c r="I229" s="880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  <c r="T229" s="149"/>
      <c r="U229" s="149"/>
      <c r="V229" s="149"/>
      <c r="W229" s="149"/>
      <c r="X229" s="149"/>
      <c r="Y229" s="149"/>
      <c r="Z229" s="149"/>
      <c r="AA229" s="149"/>
      <c r="AB229" s="149"/>
      <c r="AC229" s="149"/>
      <c r="AD229" s="149"/>
      <c r="AE229" s="149"/>
      <c r="AF229" s="149"/>
      <c r="AG229" s="149"/>
      <c r="AH229" s="149"/>
      <c r="AI229" s="149"/>
    </row>
    <row r="230" spans="1:35" ht="48">
      <c r="A230" s="150" t="s">
        <v>49</v>
      </c>
      <c r="B230" s="151">
        <v>43</v>
      </c>
      <c r="C230" s="254" t="s">
        <v>27</v>
      </c>
      <c r="D230" s="151">
        <v>3211</v>
      </c>
      <c r="E230" s="227" t="s">
        <v>60</v>
      </c>
      <c r="F230" s="153" t="s">
        <v>686</v>
      </c>
      <c r="G230" s="503">
        <f>183000-83379</f>
        <v>99621</v>
      </c>
      <c r="H230" s="879">
        <f>3545.76+394.85+4690.59</f>
        <v>8631.2000000000007</v>
      </c>
      <c r="I230" s="880">
        <v>20000</v>
      </c>
      <c r="J230" s="149"/>
      <c r="K230" s="149"/>
      <c r="L230" s="149"/>
      <c r="M230" s="149"/>
      <c r="N230" s="149"/>
      <c r="O230" s="149"/>
      <c r="P230" s="149"/>
      <c r="Q230" s="149"/>
      <c r="R230" s="149"/>
      <c r="S230" s="149"/>
      <c r="T230" s="149"/>
      <c r="U230" s="149"/>
      <c r="V230" s="149"/>
      <c r="W230" s="149"/>
      <c r="X230" s="149"/>
      <c r="Y230" s="149"/>
      <c r="Z230" s="149"/>
      <c r="AA230" s="149"/>
      <c r="AB230" s="149"/>
      <c r="AC230" s="149"/>
      <c r="AD230" s="149"/>
      <c r="AE230" s="149"/>
      <c r="AF230" s="149"/>
      <c r="AG230" s="149"/>
      <c r="AH230" s="149"/>
      <c r="AI230" s="149"/>
    </row>
    <row r="231" spans="1:35" ht="60">
      <c r="A231" s="150" t="s">
        <v>49</v>
      </c>
      <c r="B231" s="151">
        <v>43</v>
      </c>
      <c r="C231" s="254" t="s">
        <v>27</v>
      </c>
      <c r="D231" s="151">
        <v>3212</v>
      </c>
      <c r="E231" s="227" t="s">
        <v>754</v>
      </c>
      <c r="F231" s="153" t="s">
        <v>686</v>
      </c>
      <c r="G231" s="503"/>
      <c r="H231" s="879">
        <v>15136.88</v>
      </c>
      <c r="I231" s="880">
        <v>16000</v>
      </c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  <c r="T231" s="149"/>
      <c r="U231" s="149"/>
      <c r="V231" s="149"/>
      <c r="W231" s="149"/>
      <c r="X231" s="149"/>
      <c r="Y231" s="149"/>
      <c r="Z231" s="149"/>
      <c r="AA231" s="149"/>
      <c r="AB231" s="149"/>
      <c r="AC231" s="149"/>
      <c r="AD231" s="149"/>
      <c r="AE231" s="149"/>
      <c r="AF231" s="149"/>
      <c r="AG231" s="149"/>
      <c r="AH231" s="149"/>
      <c r="AI231" s="149"/>
    </row>
    <row r="232" spans="1:35" ht="48">
      <c r="A232" s="150" t="s">
        <v>49</v>
      </c>
      <c r="B232" s="151">
        <v>43</v>
      </c>
      <c r="C232" s="254" t="s">
        <v>27</v>
      </c>
      <c r="D232" s="151">
        <v>3213</v>
      </c>
      <c r="E232" s="227" t="s">
        <v>64</v>
      </c>
      <c r="F232" s="153" t="s">
        <v>686</v>
      </c>
      <c r="G232" s="503">
        <v>20000</v>
      </c>
      <c r="H232" s="879"/>
      <c r="I232" s="880">
        <v>10000</v>
      </c>
      <c r="J232" s="149"/>
      <c r="K232" s="149"/>
      <c r="L232" s="149"/>
      <c r="M232" s="149"/>
      <c r="N232" s="149"/>
      <c r="O232" s="149"/>
      <c r="P232" s="149"/>
      <c r="Q232" s="149"/>
      <c r="R232" s="149"/>
      <c r="S232" s="149"/>
      <c r="T232" s="149"/>
      <c r="U232" s="149"/>
      <c r="V232" s="149"/>
      <c r="W232" s="149"/>
      <c r="X232" s="149"/>
      <c r="Y232" s="149"/>
      <c r="Z232" s="149"/>
      <c r="AA232" s="149"/>
      <c r="AB232" s="149"/>
      <c r="AC232" s="149"/>
      <c r="AD232" s="149"/>
      <c r="AE232" s="149"/>
      <c r="AF232" s="149"/>
      <c r="AG232" s="149"/>
      <c r="AH232" s="149"/>
      <c r="AI232" s="149"/>
    </row>
    <row r="233" spans="1:35" ht="48">
      <c r="A233" s="150" t="s">
        <v>49</v>
      </c>
      <c r="B233" s="151">
        <v>43</v>
      </c>
      <c r="C233" s="254" t="s">
        <v>27</v>
      </c>
      <c r="D233" s="151">
        <v>3214</v>
      </c>
      <c r="E233" s="227" t="s">
        <v>75</v>
      </c>
      <c r="F233" s="153" t="s">
        <v>686</v>
      </c>
      <c r="G233" s="503"/>
      <c r="H233" s="879"/>
      <c r="I233" s="880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  <c r="T233" s="149"/>
      <c r="U233" s="149"/>
      <c r="V233" s="149"/>
      <c r="W233" s="149"/>
      <c r="X233" s="149"/>
      <c r="Y233" s="149"/>
      <c r="Z233" s="149"/>
      <c r="AA233" s="149"/>
      <c r="AB233" s="149"/>
      <c r="AC233" s="149"/>
      <c r="AD233" s="149"/>
      <c r="AE233" s="149"/>
      <c r="AF233" s="149"/>
      <c r="AG233" s="149"/>
      <c r="AH233" s="149"/>
      <c r="AI233" s="149"/>
    </row>
    <row r="234" spans="1:35" ht="60">
      <c r="A234" s="150" t="s">
        <v>49</v>
      </c>
      <c r="B234" s="151">
        <v>43</v>
      </c>
      <c r="C234" s="254" t="s">
        <v>27</v>
      </c>
      <c r="D234" s="151">
        <v>3221</v>
      </c>
      <c r="E234" s="227" t="s">
        <v>65</v>
      </c>
      <c r="F234" s="153" t="s">
        <v>686</v>
      </c>
      <c r="G234" s="503">
        <f>105000-25000</f>
        <v>80000</v>
      </c>
      <c r="H234" s="879">
        <f>11783.52+203.75+4778.5</f>
        <v>16765.77</v>
      </c>
      <c r="I234" s="880">
        <v>40000</v>
      </c>
      <c r="J234" s="149"/>
      <c r="K234" s="149"/>
      <c r="L234" s="149"/>
      <c r="M234" s="149"/>
      <c r="N234" s="149"/>
      <c r="O234" s="149"/>
      <c r="P234" s="149"/>
      <c r="Q234" s="149"/>
      <c r="R234" s="149"/>
      <c r="S234" s="149"/>
      <c r="T234" s="149"/>
      <c r="U234" s="149"/>
      <c r="V234" s="149"/>
      <c r="W234" s="149"/>
      <c r="X234" s="149"/>
      <c r="Y234" s="149"/>
      <c r="Z234" s="149"/>
      <c r="AA234" s="149"/>
      <c r="AB234" s="149"/>
      <c r="AC234" s="149"/>
      <c r="AD234" s="149"/>
      <c r="AE234" s="149"/>
      <c r="AF234" s="149"/>
      <c r="AG234" s="149"/>
      <c r="AH234" s="149"/>
      <c r="AI234" s="149"/>
    </row>
    <row r="235" spans="1:35" ht="48">
      <c r="A235" s="150" t="s">
        <v>49</v>
      </c>
      <c r="B235" s="151">
        <v>43</v>
      </c>
      <c r="C235" s="254" t="s">
        <v>27</v>
      </c>
      <c r="D235" s="151">
        <v>3222</v>
      </c>
      <c r="E235" s="227" t="s">
        <v>76</v>
      </c>
      <c r="F235" s="153" t="s">
        <v>686</v>
      </c>
      <c r="G235" s="503"/>
      <c r="H235" s="879"/>
      <c r="I235" s="880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  <c r="T235" s="149"/>
      <c r="U235" s="149"/>
      <c r="V235" s="149"/>
      <c r="W235" s="149"/>
      <c r="X235" s="149"/>
      <c r="Y235" s="149"/>
      <c r="Z235" s="149"/>
      <c r="AA235" s="149"/>
      <c r="AB235" s="149"/>
      <c r="AC235" s="149"/>
      <c r="AD235" s="149"/>
      <c r="AE235" s="149"/>
      <c r="AF235" s="149"/>
      <c r="AG235" s="149"/>
      <c r="AH235" s="149"/>
      <c r="AI235" s="149"/>
    </row>
    <row r="236" spans="1:35" ht="48">
      <c r="A236" s="150" t="s">
        <v>49</v>
      </c>
      <c r="B236" s="151">
        <v>43</v>
      </c>
      <c r="C236" s="254" t="s">
        <v>27</v>
      </c>
      <c r="D236" s="151">
        <v>3223</v>
      </c>
      <c r="E236" s="227" t="s">
        <v>77</v>
      </c>
      <c r="F236" s="153" t="s">
        <v>686</v>
      </c>
      <c r="G236" s="503"/>
      <c r="H236" s="879"/>
      <c r="I236" s="880">
        <v>75000</v>
      </c>
      <c r="J236" s="149"/>
      <c r="K236" s="149"/>
      <c r="L236" s="149"/>
      <c r="M236" s="149"/>
      <c r="N236" s="149"/>
      <c r="O236" s="149"/>
      <c r="P236" s="149"/>
      <c r="Q236" s="149"/>
      <c r="R236" s="149"/>
      <c r="S236" s="149"/>
      <c r="T236" s="149"/>
      <c r="U236" s="149"/>
      <c r="V236" s="149"/>
      <c r="W236" s="149"/>
      <c r="X236" s="149"/>
      <c r="Y236" s="149"/>
      <c r="Z236" s="149"/>
      <c r="AA236" s="149"/>
      <c r="AB236" s="149"/>
      <c r="AC236" s="149"/>
      <c r="AD236" s="149"/>
      <c r="AE236" s="149"/>
      <c r="AF236" s="149"/>
      <c r="AG236" s="149"/>
      <c r="AH236" s="149"/>
      <c r="AI236" s="149"/>
    </row>
    <row r="237" spans="1:35" ht="60">
      <c r="A237" s="150" t="s">
        <v>49</v>
      </c>
      <c r="B237" s="151">
        <v>43</v>
      </c>
      <c r="C237" s="254" t="s">
        <v>27</v>
      </c>
      <c r="D237" s="151">
        <v>3224</v>
      </c>
      <c r="E237" s="227" t="s">
        <v>61</v>
      </c>
      <c r="F237" s="153" t="s">
        <v>686</v>
      </c>
      <c r="G237" s="503">
        <v>55000</v>
      </c>
      <c r="H237" s="879">
        <f>5290.98+24141.7</f>
        <v>29432.68</v>
      </c>
      <c r="I237" s="880">
        <v>40000</v>
      </c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  <c r="T237" s="149"/>
      <c r="U237" s="149"/>
      <c r="V237" s="149"/>
      <c r="W237" s="149"/>
      <c r="X237" s="149"/>
      <c r="Y237" s="149"/>
      <c r="Z237" s="149"/>
      <c r="AA237" s="149"/>
      <c r="AB237" s="149"/>
      <c r="AC237" s="149"/>
      <c r="AD237" s="149"/>
      <c r="AE237" s="149"/>
      <c r="AF237" s="149"/>
      <c r="AG237" s="149"/>
      <c r="AH237" s="149"/>
      <c r="AI237" s="149"/>
    </row>
    <row r="238" spans="1:35" ht="48">
      <c r="A238" s="150" t="s">
        <v>49</v>
      </c>
      <c r="B238" s="151">
        <v>43</v>
      </c>
      <c r="C238" s="254" t="s">
        <v>27</v>
      </c>
      <c r="D238" s="151">
        <v>3225</v>
      </c>
      <c r="E238" s="227" t="s">
        <v>78</v>
      </c>
      <c r="F238" s="153" t="s">
        <v>686</v>
      </c>
      <c r="G238" s="503">
        <v>40000</v>
      </c>
      <c r="H238" s="879"/>
      <c r="I238" s="880"/>
      <c r="J238" s="149"/>
      <c r="K238" s="149"/>
      <c r="L238" s="149"/>
      <c r="M238" s="149"/>
      <c r="N238" s="149"/>
      <c r="O238" s="149"/>
      <c r="P238" s="149"/>
      <c r="Q238" s="149"/>
      <c r="R238" s="149"/>
      <c r="S238" s="149"/>
      <c r="T238" s="149"/>
      <c r="U238" s="149"/>
      <c r="V238" s="149"/>
      <c r="W238" s="149"/>
      <c r="X238" s="149"/>
      <c r="Y238" s="149"/>
      <c r="Z238" s="149"/>
      <c r="AA238" s="149"/>
      <c r="AB238" s="149"/>
      <c r="AC238" s="149"/>
      <c r="AD238" s="149"/>
      <c r="AE238" s="149"/>
      <c r="AF238" s="149"/>
      <c r="AG238" s="149"/>
      <c r="AH238" s="149"/>
      <c r="AI238" s="149"/>
    </row>
    <row r="239" spans="1:35" ht="60">
      <c r="A239" s="150" t="s">
        <v>49</v>
      </c>
      <c r="B239" s="151">
        <v>43</v>
      </c>
      <c r="C239" s="254" t="s">
        <v>27</v>
      </c>
      <c r="D239" s="151">
        <v>3227</v>
      </c>
      <c r="E239" s="227" t="s">
        <v>89</v>
      </c>
      <c r="F239" s="153" t="s">
        <v>686</v>
      </c>
      <c r="G239" s="503">
        <v>8000</v>
      </c>
      <c r="H239" s="879"/>
      <c r="I239" s="880"/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  <c r="T239" s="149"/>
      <c r="U239" s="149"/>
      <c r="V239" s="149"/>
      <c r="W239" s="149"/>
      <c r="X239" s="149"/>
      <c r="Y239" s="149"/>
      <c r="Z239" s="149"/>
      <c r="AA239" s="149"/>
      <c r="AB239" s="149"/>
      <c r="AC239" s="149"/>
      <c r="AD239" s="149"/>
      <c r="AE239" s="149"/>
      <c r="AF239" s="149"/>
      <c r="AG239" s="149"/>
      <c r="AH239" s="149"/>
      <c r="AI239" s="149"/>
    </row>
    <row r="240" spans="1:35" ht="48">
      <c r="A240" s="150" t="s">
        <v>49</v>
      </c>
      <c r="B240" s="151">
        <v>43</v>
      </c>
      <c r="C240" s="254" t="s">
        <v>27</v>
      </c>
      <c r="D240" s="151">
        <v>3231</v>
      </c>
      <c r="E240" s="227" t="s">
        <v>79</v>
      </c>
      <c r="F240" s="153" t="s">
        <v>686</v>
      </c>
      <c r="G240" s="503">
        <v>15000</v>
      </c>
      <c r="H240" s="879">
        <v>92300</v>
      </c>
      <c r="I240" s="880">
        <v>105000</v>
      </c>
      <c r="J240" s="149"/>
      <c r="K240" s="149"/>
      <c r="L240" s="149"/>
      <c r="M240" s="149"/>
      <c r="N240" s="149"/>
      <c r="O240" s="149"/>
      <c r="P240" s="149"/>
      <c r="Q240" s="149"/>
      <c r="R240" s="149"/>
      <c r="S240" s="149"/>
      <c r="T240" s="149"/>
      <c r="U240" s="149"/>
      <c r="V240" s="149"/>
      <c r="W240" s="149"/>
      <c r="X240" s="149"/>
      <c r="Y240" s="149"/>
      <c r="Z240" s="149"/>
      <c r="AA240" s="149"/>
      <c r="AB240" s="149"/>
      <c r="AC240" s="149"/>
      <c r="AD240" s="149"/>
      <c r="AE240" s="149"/>
      <c r="AF240" s="149"/>
      <c r="AG240" s="149"/>
      <c r="AH240" s="149"/>
      <c r="AI240" s="149"/>
    </row>
    <row r="241" spans="1:35" ht="48">
      <c r="A241" s="150" t="s">
        <v>49</v>
      </c>
      <c r="B241" s="151">
        <v>43</v>
      </c>
      <c r="C241" s="254" t="s">
        <v>27</v>
      </c>
      <c r="D241" s="151">
        <v>3232</v>
      </c>
      <c r="E241" s="227" t="s">
        <v>80</v>
      </c>
      <c r="F241" s="153" t="s">
        <v>686</v>
      </c>
      <c r="G241" s="503">
        <v>60000</v>
      </c>
      <c r="H241" s="879">
        <v>13584.34</v>
      </c>
      <c r="I241" s="880">
        <v>20000</v>
      </c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  <c r="T241" s="149"/>
      <c r="U241" s="149"/>
      <c r="V241" s="149"/>
      <c r="W241" s="149"/>
      <c r="X241" s="149"/>
      <c r="Y241" s="149"/>
      <c r="Z241" s="149"/>
      <c r="AA241" s="149"/>
      <c r="AB241" s="149"/>
      <c r="AC241" s="149"/>
      <c r="AD241" s="149"/>
      <c r="AE241" s="149"/>
      <c r="AF241" s="149"/>
      <c r="AG241" s="149"/>
      <c r="AH241" s="149"/>
      <c r="AI241" s="149"/>
    </row>
    <row r="242" spans="1:35" ht="48">
      <c r="A242" s="150" t="s">
        <v>49</v>
      </c>
      <c r="B242" s="151">
        <v>43</v>
      </c>
      <c r="C242" s="254" t="s">
        <v>27</v>
      </c>
      <c r="D242" s="151">
        <v>3233</v>
      </c>
      <c r="E242" s="227" t="s">
        <v>81</v>
      </c>
      <c r="F242" s="153" t="s">
        <v>686</v>
      </c>
      <c r="G242" s="503">
        <v>25000</v>
      </c>
      <c r="H242" s="879">
        <f>13264+12409.15</f>
        <v>25673.15</v>
      </c>
      <c r="I242" s="880">
        <v>40000</v>
      </c>
      <c r="J242" s="149"/>
      <c r="K242" s="149"/>
      <c r="L242" s="149"/>
      <c r="M242" s="149"/>
      <c r="N242" s="149"/>
      <c r="O242" s="149"/>
      <c r="P242" s="149"/>
      <c r="Q242" s="149"/>
      <c r="R242" s="149"/>
      <c r="S242" s="149"/>
      <c r="T242" s="149"/>
      <c r="U242" s="149"/>
      <c r="V242" s="149"/>
      <c r="W242" s="149"/>
      <c r="X242" s="149"/>
      <c r="Y242" s="149"/>
      <c r="Z242" s="149"/>
      <c r="AA242" s="149"/>
      <c r="AB242" s="149"/>
      <c r="AC242" s="149"/>
      <c r="AD242" s="149"/>
      <c r="AE242" s="149"/>
      <c r="AF242" s="149"/>
      <c r="AG242" s="149"/>
      <c r="AH242" s="149"/>
      <c r="AI242" s="149"/>
    </row>
    <row r="243" spans="1:35" ht="48">
      <c r="A243" s="150" t="s">
        <v>49</v>
      </c>
      <c r="B243" s="151">
        <v>43</v>
      </c>
      <c r="C243" s="254" t="s">
        <v>27</v>
      </c>
      <c r="D243" s="151">
        <v>3234</v>
      </c>
      <c r="E243" s="227" t="s">
        <v>87</v>
      </c>
      <c r="F243" s="153" t="s">
        <v>686</v>
      </c>
      <c r="G243" s="503">
        <v>7000</v>
      </c>
      <c r="H243" s="879">
        <v>6875</v>
      </c>
      <c r="I243" s="880">
        <v>10000</v>
      </c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  <c r="T243" s="149"/>
      <c r="U243" s="149"/>
      <c r="V243" s="149"/>
      <c r="W243" s="149"/>
      <c r="X243" s="149"/>
      <c r="Y243" s="149"/>
      <c r="Z243" s="149"/>
      <c r="AA243" s="149"/>
      <c r="AB243" s="149"/>
      <c r="AC243" s="149"/>
      <c r="AD243" s="149"/>
      <c r="AE243" s="149"/>
      <c r="AF243" s="149"/>
      <c r="AG243" s="149"/>
      <c r="AH243" s="149"/>
      <c r="AI243" s="149"/>
    </row>
    <row r="244" spans="1:35" ht="48">
      <c r="A244" s="150" t="s">
        <v>49</v>
      </c>
      <c r="B244" s="151">
        <v>43</v>
      </c>
      <c r="C244" s="254" t="s">
        <v>27</v>
      </c>
      <c r="D244" s="151">
        <v>3235</v>
      </c>
      <c r="E244" s="227" t="s">
        <v>88</v>
      </c>
      <c r="F244" s="153" t="s">
        <v>686</v>
      </c>
      <c r="G244" s="503">
        <v>26000</v>
      </c>
      <c r="H244" s="879">
        <v>2337.7600000000002</v>
      </c>
      <c r="I244" s="880">
        <v>10000</v>
      </c>
      <c r="J244" s="149"/>
      <c r="K244" s="149"/>
      <c r="L244" s="149"/>
      <c r="M244" s="149"/>
      <c r="N244" s="149"/>
      <c r="O244" s="149"/>
      <c r="P244" s="149"/>
      <c r="Q244" s="149"/>
      <c r="R244" s="149"/>
      <c r="S244" s="149"/>
      <c r="T244" s="149"/>
      <c r="U244" s="149"/>
      <c r="V244" s="149"/>
      <c r="W244" s="149"/>
      <c r="X244" s="149"/>
      <c r="Y244" s="149"/>
      <c r="Z244" s="149"/>
      <c r="AA244" s="149"/>
      <c r="AB244" s="149"/>
      <c r="AC244" s="149"/>
      <c r="AD244" s="149"/>
      <c r="AE244" s="149"/>
      <c r="AF244" s="149"/>
      <c r="AG244" s="149"/>
      <c r="AH244" s="149"/>
      <c r="AI244" s="149"/>
    </row>
    <row r="245" spans="1:35" ht="48">
      <c r="A245" s="150" t="s">
        <v>49</v>
      </c>
      <c r="B245" s="151">
        <v>43</v>
      </c>
      <c r="C245" s="254" t="s">
        <v>27</v>
      </c>
      <c r="D245" s="151">
        <v>3236</v>
      </c>
      <c r="E245" s="227" t="s">
        <v>54</v>
      </c>
      <c r="F245" s="153" t="s">
        <v>686</v>
      </c>
      <c r="G245" s="503">
        <v>32500</v>
      </c>
      <c r="H245" s="879">
        <v>1750</v>
      </c>
      <c r="I245" s="880">
        <v>2000</v>
      </c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  <c r="T245" s="149"/>
      <c r="U245" s="149"/>
      <c r="V245" s="149"/>
      <c r="W245" s="149"/>
      <c r="X245" s="149"/>
      <c r="Y245" s="149"/>
      <c r="Z245" s="149"/>
      <c r="AA245" s="149"/>
      <c r="AB245" s="149"/>
      <c r="AC245" s="149"/>
      <c r="AD245" s="149"/>
      <c r="AE245" s="149"/>
      <c r="AF245" s="149"/>
      <c r="AG245" s="149"/>
      <c r="AH245" s="149"/>
      <c r="AI245" s="149"/>
    </row>
    <row r="246" spans="1:35" ht="48">
      <c r="A246" s="150" t="s">
        <v>49</v>
      </c>
      <c r="B246" s="151">
        <v>43</v>
      </c>
      <c r="C246" s="254" t="s">
        <v>27</v>
      </c>
      <c r="D246" s="151">
        <v>3237</v>
      </c>
      <c r="E246" s="227" t="s">
        <v>62</v>
      </c>
      <c r="F246" s="153" t="s">
        <v>686</v>
      </c>
      <c r="G246" s="503">
        <v>120000</v>
      </c>
      <c r="H246" s="879">
        <f>3792.97+76985</f>
        <v>80777.97</v>
      </c>
      <c r="I246" s="880">
        <v>100000</v>
      </c>
      <c r="J246" s="149"/>
      <c r="K246" s="149"/>
      <c r="L246" s="149"/>
      <c r="M246" s="149"/>
      <c r="N246" s="149"/>
      <c r="O246" s="149"/>
      <c r="P246" s="149"/>
      <c r="Q246" s="149"/>
      <c r="R246" s="149"/>
      <c r="S246" s="149"/>
      <c r="T246" s="149"/>
      <c r="U246" s="149"/>
      <c r="V246" s="149"/>
      <c r="W246" s="149"/>
      <c r="X246" s="149"/>
      <c r="Y246" s="149"/>
      <c r="Z246" s="149"/>
      <c r="AA246" s="149"/>
      <c r="AB246" s="149"/>
      <c r="AC246" s="149"/>
      <c r="AD246" s="149"/>
      <c r="AE246" s="149"/>
      <c r="AF246" s="149"/>
      <c r="AG246" s="149"/>
      <c r="AH246" s="149"/>
      <c r="AI246" s="149"/>
    </row>
    <row r="247" spans="1:35" ht="48">
      <c r="A247" s="150" t="s">
        <v>49</v>
      </c>
      <c r="B247" s="151">
        <v>43</v>
      </c>
      <c r="C247" s="254" t="s">
        <v>27</v>
      </c>
      <c r="D247" s="151">
        <v>3238</v>
      </c>
      <c r="E247" s="227" t="s">
        <v>82</v>
      </c>
      <c r="F247" s="153" t="s">
        <v>686</v>
      </c>
      <c r="G247" s="503">
        <v>20000</v>
      </c>
      <c r="H247" s="879">
        <v>1028.44</v>
      </c>
      <c r="I247" s="880">
        <v>5000</v>
      </c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  <c r="T247" s="149"/>
      <c r="U247" s="149"/>
      <c r="V247" s="149"/>
      <c r="W247" s="149"/>
      <c r="X247" s="149"/>
      <c r="Y247" s="149"/>
      <c r="Z247" s="149"/>
      <c r="AA247" s="149"/>
      <c r="AB247" s="149"/>
      <c r="AC247" s="149"/>
      <c r="AD247" s="149"/>
      <c r="AE247" s="149"/>
      <c r="AF247" s="149"/>
      <c r="AG247" s="149"/>
      <c r="AH247" s="149"/>
      <c r="AI247" s="149"/>
    </row>
    <row r="248" spans="1:35" ht="48">
      <c r="A248" s="150" t="s">
        <v>49</v>
      </c>
      <c r="B248" s="151">
        <v>43</v>
      </c>
      <c r="C248" s="254" t="s">
        <v>27</v>
      </c>
      <c r="D248" s="151">
        <v>3239</v>
      </c>
      <c r="E248" s="227" t="s">
        <v>66</v>
      </c>
      <c r="F248" s="153" t="s">
        <v>686</v>
      </c>
      <c r="G248" s="503">
        <v>117500</v>
      </c>
      <c r="H248" s="879">
        <f>10700+5238.75+162.5+22750+19600</f>
        <v>58451.25</v>
      </c>
      <c r="I248" s="880">
        <v>70000</v>
      </c>
      <c r="J248" s="149"/>
      <c r="K248" s="149"/>
      <c r="L248" s="149"/>
      <c r="M248" s="149"/>
      <c r="N248" s="149"/>
      <c r="O248" s="149"/>
      <c r="P248" s="149"/>
      <c r="Q248" s="149"/>
      <c r="R248" s="149"/>
      <c r="S248" s="149"/>
      <c r="T248" s="149"/>
      <c r="U248" s="149"/>
      <c r="V248" s="149"/>
      <c r="W248" s="149"/>
      <c r="X248" s="149"/>
      <c r="Y248" s="149"/>
      <c r="Z248" s="149"/>
      <c r="AA248" s="149"/>
      <c r="AB248" s="149"/>
      <c r="AC248" s="149"/>
      <c r="AD248" s="149"/>
      <c r="AE248" s="149"/>
      <c r="AF248" s="149"/>
      <c r="AG248" s="149"/>
      <c r="AH248" s="149"/>
      <c r="AI248" s="149"/>
    </row>
    <row r="249" spans="1:35" ht="60">
      <c r="A249" s="150" t="s">
        <v>49</v>
      </c>
      <c r="B249" s="151">
        <v>43</v>
      </c>
      <c r="C249" s="254" t="s">
        <v>27</v>
      </c>
      <c r="D249" s="151">
        <v>3241</v>
      </c>
      <c r="E249" s="227" t="s">
        <v>67</v>
      </c>
      <c r="F249" s="153" t="s">
        <v>686</v>
      </c>
      <c r="G249" s="503">
        <v>85000</v>
      </c>
      <c r="H249" s="879">
        <f>6167.5</f>
        <v>6167.5</v>
      </c>
      <c r="I249" s="880">
        <v>8000</v>
      </c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  <c r="T249" s="149"/>
      <c r="U249" s="149"/>
      <c r="V249" s="149"/>
      <c r="W249" s="149"/>
      <c r="X249" s="149"/>
      <c r="Y249" s="149"/>
      <c r="Z249" s="149"/>
      <c r="AA249" s="149"/>
      <c r="AB249" s="149"/>
      <c r="AC249" s="149"/>
      <c r="AD249" s="149"/>
      <c r="AE249" s="149"/>
      <c r="AF249" s="149"/>
      <c r="AG249" s="149"/>
      <c r="AH249" s="149"/>
      <c r="AI249" s="149"/>
    </row>
    <row r="250" spans="1:35" ht="60">
      <c r="A250" s="150" t="s">
        <v>49</v>
      </c>
      <c r="B250" s="151">
        <v>43</v>
      </c>
      <c r="C250" s="254" t="s">
        <v>27</v>
      </c>
      <c r="D250" s="151">
        <v>3291</v>
      </c>
      <c r="E250" s="227" t="s">
        <v>713</v>
      </c>
      <c r="F250" s="153" t="s">
        <v>686</v>
      </c>
      <c r="G250" s="883"/>
      <c r="H250" s="879"/>
      <c r="I250" s="880"/>
      <c r="J250" s="149"/>
      <c r="K250" s="149"/>
      <c r="L250" s="149"/>
      <c r="M250" s="149"/>
      <c r="N250" s="149"/>
      <c r="O250" s="149"/>
      <c r="P250" s="149"/>
      <c r="Q250" s="149"/>
      <c r="R250" s="149"/>
      <c r="S250" s="149"/>
      <c r="T250" s="149"/>
      <c r="U250" s="149"/>
      <c r="V250" s="149"/>
      <c r="W250" s="149"/>
      <c r="X250" s="149"/>
      <c r="Y250" s="149"/>
      <c r="Z250" s="149"/>
      <c r="AA250" s="149"/>
      <c r="AB250" s="149"/>
      <c r="AC250" s="149"/>
      <c r="AD250" s="149"/>
      <c r="AE250" s="149"/>
      <c r="AF250" s="149"/>
      <c r="AG250" s="149"/>
      <c r="AH250" s="149"/>
      <c r="AI250" s="149"/>
    </row>
    <row r="251" spans="1:35" ht="48">
      <c r="A251" s="150" t="s">
        <v>49</v>
      </c>
      <c r="B251" s="151">
        <v>43</v>
      </c>
      <c r="C251" s="254" t="s">
        <v>27</v>
      </c>
      <c r="D251" s="151">
        <v>3292</v>
      </c>
      <c r="E251" s="227" t="s">
        <v>59</v>
      </c>
      <c r="F251" s="153" t="s">
        <v>686</v>
      </c>
      <c r="G251" s="883"/>
      <c r="H251" s="879"/>
      <c r="I251" s="880"/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  <c r="T251" s="149"/>
      <c r="U251" s="149"/>
      <c r="V251" s="149"/>
      <c r="W251" s="149"/>
      <c r="X251" s="149"/>
      <c r="Y251" s="149"/>
      <c r="Z251" s="149"/>
      <c r="AA251" s="149"/>
      <c r="AB251" s="149"/>
      <c r="AC251" s="149"/>
      <c r="AD251" s="149"/>
      <c r="AE251" s="149"/>
      <c r="AF251" s="149"/>
      <c r="AG251" s="149"/>
      <c r="AH251" s="149"/>
      <c r="AI251" s="149"/>
    </row>
    <row r="252" spans="1:35" ht="48">
      <c r="A252" s="150" t="s">
        <v>49</v>
      </c>
      <c r="B252" s="151">
        <v>43</v>
      </c>
      <c r="C252" s="254" t="s">
        <v>27</v>
      </c>
      <c r="D252" s="151">
        <v>3293</v>
      </c>
      <c r="E252" s="227" t="s">
        <v>68</v>
      </c>
      <c r="F252" s="153" t="s">
        <v>686</v>
      </c>
      <c r="G252" s="503">
        <f>150000-50000</f>
        <v>100000</v>
      </c>
      <c r="H252" s="879">
        <v>28511.29</v>
      </c>
      <c r="I252" s="880">
        <v>80000</v>
      </c>
      <c r="J252" s="149"/>
      <c r="K252" s="149"/>
      <c r="L252" s="149"/>
      <c r="M252" s="149"/>
      <c r="N252" s="149"/>
      <c r="O252" s="149"/>
      <c r="P252" s="149"/>
      <c r="Q252" s="149"/>
      <c r="R252" s="149"/>
      <c r="S252" s="149"/>
      <c r="T252" s="149"/>
      <c r="U252" s="149"/>
      <c r="V252" s="149"/>
      <c r="W252" s="149"/>
      <c r="X252" s="149"/>
      <c r="Y252" s="149"/>
      <c r="Z252" s="149"/>
      <c r="AA252" s="149"/>
      <c r="AB252" s="149"/>
      <c r="AC252" s="149"/>
      <c r="AD252" s="149"/>
      <c r="AE252" s="149"/>
      <c r="AF252" s="149"/>
      <c r="AG252" s="149"/>
      <c r="AH252" s="149"/>
      <c r="AI252" s="149"/>
    </row>
    <row r="253" spans="1:35" ht="48">
      <c r="A253" s="150" t="s">
        <v>49</v>
      </c>
      <c r="B253" s="151">
        <v>43</v>
      </c>
      <c r="C253" s="254" t="s">
        <v>27</v>
      </c>
      <c r="D253" s="151">
        <v>3294</v>
      </c>
      <c r="E253" s="227" t="s">
        <v>69</v>
      </c>
      <c r="F253" s="153" t="s">
        <v>686</v>
      </c>
      <c r="G253" s="503">
        <v>6000</v>
      </c>
      <c r="H253" s="879">
        <v>3465.44</v>
      </c>
      <c r="I253" s="880">
        <v>5000</v>
      </c>
      <c r="J253" s="149"/>
      <c r="K253" s="149"/>
      <c r="L253" s="149"/>
      <c r="M253" s="149"/>
      <c r="N253" s="149"/>
      <c r="O253" s="149"/>
      <c r="P253" s="149"/>
      <c r="Q253" s="149"/>
      <c r="R253" s="149"/>
      <c r="S253" s="149"/>
      <c r="T253" s="149"/>
      <c r="U253" s="149"/>
      <c r="V253" s="149"/>
      <c r="W253" s="149"/>
      <c r="X253" s="149"/>
      <c r="Y253" s="149"/>
      <c r="Z253" s="149"/>
      <c r="AA253" s="149"/>
      <c r="AB253" s="149"/>
      <c r="AC253" s="149"/>
      <c r="AD253" s="149"/>
      <c r="AE253" s="149"/>
      <c r="AF253" s="149"/>
      <c r="AG253" s="149"/>
      <c r="AH253" s="149"/>
      <c r="AI253" s="149"/>
    </row>
    <row r="254" spans="1:35" ht="48">
      <c r="A254" s="150" t="s">
        <v>49</v>
      </c>
      <c r="B254" s="151">
        <v>43</v>
      </c>
      <c r="C254" s="254" t="s">
        <v>27</v>
      </c>
      <c r="D254" s="151">
        <v>3295</v>
      </c>
      <c r="E254" s="227" t="s">
        <v>55</v>
      </c>
      <c r="F254" s="153" t="s">
        <v>686</v>
      </c>
      <c r="G254" s="503">
        <v>1000</v>
      </c>
      <c r="H254" s="879"/>
      <c r="I254" s="880"/>
      <c r="J254" s="149"/>
      <c r="K254" s="149"/>
      <c r="L254" s="149"/>
      <c r="M254" s="149"/>
      <c r="N254" s="149"/>
      <c r="O254" s="149"/>
      <c r="P254" s="149"/>
      <c r="Q254" s="149"/>
      <c r="R254" s="149"/>
      <c r="S254" s="149"/>
      <c r="T254" s="149"/>
      <c r="U254" s="149"/>
      <c r="V254" s="149"/>
      <c r="W254" s="149"/>
      <c r="X254" s="149"/>
      <c r="Y254" s="149"/>
      <c r="Z254" s="149"/>
      <c r="AA254" s="149"/>
      <c r="AB254" s="149"/>
      <c r="AC254" s="149"/>
      <c r="AD254" s="149"/>
      <c r="AE254" s="149"/>
      <c r="AF254" s="149"/>
      <c r="AG254" s="149"/>
      <c r="AH254" s="149"/>
      <c r="AI254" s="149"/>
    </row>
    <row r="255" spans="1:35" ht="48">
      <c r="A255" s="150" t="s">
        <v>49</v>
      </c>
      <c r="B255" s="151">
        <v>43</v>
      </c>
      <c r="C255" s="254" t="s">
        <v>27</v>
      </c>
      <c r="D255" s="151">
        <v>3296</v>
      </c>
      <c r="E255" s="227" t="s">
        <v>97</v>
      </c>
      <c r="F255" s="153" t="s">
        <v>686</v>
      </c>
      <c r="G255" s="503"/>
      <c r="H255" s="879"/>
      <c r="I255" s="880"/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  <c r="T255" s="149"/>
      <c r="U255" s="149"/>
      <c r="V255" s="149"/>
      <c r="W255" s="149"/>
      <c r="X255" s="149"/>
      <c r="Y255" s="149"/>
      <c r="Z255" s="149"/>
      <c r="AA255" s="149"/>
      <c r="AB255" s="149"/>
      <c r="AC255" s="149"/>
      <c r="AD255" s="149"/>
      <c r="AE255" s="149"/>
      <c r="AF255" s="149"/>
      <c r="AG255" s="149"/>
      <c r="AH255" s="149"/>
      <c r="AI255" s="149"/>
    </row>
    <row r="256" spans="1:35" ht="48">
      <c r="A256" s="150" t="s">
        <v>49</v>
      </c>
      <c r="B256" s="151">
        <v>43</v>
      </c>
      <c r="C256" s="254" t="s">
        <v>27</v>
      </c>
      <c r="D256" s="151">
        <v>3299</v>
      </c>
      <c r="E256" s="227" t="s">
        <v>57</v>
      </c>
      <c r="F256" s="153" t="s">
        <v>686</v>
      </c>
      <c r="G256" s="503">
        <f>110000-50000</f>
        <v>60000</v>
      </c>
      <c r="H256" s="879">
        <f>13770.73+75750.14</f>
        <v>89520.87</v>
      </c>
      <c r="I256" s="880">
        <v>120000</v>
      </c>
      <c r="J256" s="149"/>
      <c r="K256" s="149"/>
      <c r="L256" s="149"/>
      <c r="M256" s="149"/>
      <c r="N256" s="149"/>
      <c r="O256" s="149"/>
      <c r="P256" s="149"/>
      <c r="Q256" s="149"/>
      <c r="R256" s="149"/>
      <c r="S256" s="149"/>
      <c r="T256" s="149"/>
      <c r="U256" s="149"/>
      <c r="V256" s="149"/>
      <c r="W256" s="149"/>
      <c r="X256" s="149"/>
      <c r="Y256" s="149"/>
      <c r="Z256" s="149"/>
      <c r="AA256" s="149"/>
      <c r="AB256" s="149"/>
      <c r="AC256" s="149"/>
      <c r="AD256" s="149"/>
      <c r="AE256" s="149"/>
      <c r="AF256" s="149"/>
      <c r="AG256" s="149"/>
      <c r="AH256" s="149"/>
      <c r="AI256" s="149"/>
    </row>
    <row r="257" spans="1:35" ht="60">
      <c r="A257" s="150" t="s">
        <v>49</v>
      </c>
      <c r="B257" s="151">
        <v>43</v>
      </c>
      <c r="C257" s="254" t="s">
        <v>27</v>
      </c>
      <c r="D257" s="151">
        <v>3431</v>
      </c>
      <c r="E257" s="227" t="s">
        <v>70</v>
      </c>
      <c r="F257" s="153" t="s">
        <v>686</v>
      </c>
      <c r="G257" s="503">
        <v>6000</v>
      </c>
      <c r="H257" s="879">
        <f>6927.54</f>
        <v>6927.54</v>
      </c>
      <c r="I257" s="880">
        <v>8000</v>
      </c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  <c r="T257" s="149"/>
      <c r="U257" s="149"/>
      <c r="V257" s="149"/>
      <c r="W257" s="149"/>
      <c r="X257" s="149"/>
      <c r="Y257" s="149"/>
      <c r="Z257" s="149"/>
      <c r="AA257" s="149"/>
      <c r="AB257" s="149"/>
      <c r="AC257" s="149"/>
      <c r="AD257" s="149"/>
      <c r="AE257" s="149"/>
      <c r="AF257" s="149"/>
      <c r="AG257" s="149"/>
      <c r="AH257" s="149"/>
      <c r="AI257" s="149"/>
    </row>
    <row r="258" spans="1:35" ht="72">
      <c r="A258" s="150" t="s">
        <v>49</v>
      </c>
      <c r="B258" s="151">
        <v>43</v>
      </c>
      <c r="C258" s="254" t="s">
        <v>27</v>
      </c>
      <c r="D258" s="151">
        <v>3432</v>
      </c>
      <c r="E258" s="227" t="s">
        <v>71</v>
      </c>
      <c r="F258" s="153" t="s">
        <v>686</v>
      </c>
      <c r="G258" s="503">
        <v>1000</v>
      </c>
      <c r="H258" s="879">
        <v>165.2</v>
      </c>
      <c r="I258" s="880">
        <v>200</v>
      </c>
      <c r="J258" s="149"/>
      <c r="K258" s="149"/>
      <c r="L258" s="149"/>
      <c r="M258" s="149"/>
      <c r="N258" s="149"/>
      <c r="O258" s="149"/>
      <c r="P258" s="149"/>
      <c r="Q258" s="149"/>
      <c r="R258" s="149"/>
      <c r="S258" s="149"/>
      <c r="T258" s="149"/>
      <c r="U258" s="149"/>
      <c r="V258" s="149"/>
      <c r="W258" s="149"/>
      <c r="X258" s="149"/>
      <c r="Y258" s="149"/>
      <c r="Z258" s="149"/>
      <c r="AA258" s="149"/>
      <c r="AB258" s="149"/>
      <c r="AC258" s="149"/>
      <c r="AD258" s="149"/>
      <c r="AE258" s="149"/>
      <c r="AF258" s="149"/>
      <c r="AG258" s="149"/>
      <c r="AH258" s="149"/>
      <c r="AI258" s="149"/>
    </row>
    <row r="259" spans="1:35" ht="48">
      <c r="A259" s="150" t="s">
        <v>49</v>
      </c>
      <c r="B259" s="151">
        <v>43</v>
      </c>
      <c r="C259" s="254" t="s">
        <v>27</v>
      </c>
      <c r="D259" s="151">
        <v>3433</v>
      </c>
      <c r="E259" s="227" t="s">
        <v>725</v>
      </c>
      <c r="F259" s="153" t="s">
        <v>686</v>
      </c>
      <c r="G259" s="883"/>
      <c r="H259" s="879"/>
      <c r="I259" s="880"/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  <c r="T259" s="149"/>
      <c r="U259" s="149"/>
      <c r="V259" s="149"/>
      <c r="W259" s="149"/>
      <c r="X259" s="149"/>
      <c r="Y259" s="149"/>
      <c r="Z259" s="149"/>
      <c r="AA259" s="149"/>
      <c r="AB259" s="149"/>
      <c r="AC259" s="149"/>
      <c r="AD259" s="149"/>
      <c r="AE259" s="149"/>
      <c r="AF259" s="149"/>
      <c r="AG259" s="149"/>
      <c r="AH259" s="149"/>
      <c r="AI259" s="149"/>
    </row>
    <row r="260" spans="1:35" ht="48">
      <c r="A260" s="150" t="s">
        <v>49</v>
      </c>
      <c r="B260" s="151">
        <v>43</v>
      </c>
      <c r="C260" s="254" t="s">
        <v>27</v>
      </c>
      <c r="D260" s="151">
        <v>3434</v>
      </c>
      <c r="E260" s="227" t="s">
        <v>94</v>
      </c>
      <c r="F260" s="153" t="s">
        <v>686</v>
      </c>
      <c r="G260" s="883"/>
      <c r="H260" s="879"/>
      <c r="I260" s="880"/>
      <c r="J260" s="149"/>
      <c r="K260" s="149"/>
      <c r="L260" s="149"/>
      <c r="M260" s="149"/>
      <c r="N260" s="149"/>
      <c r="O260" s="149"/>
      <c r="P260" s="149"/>
      <c r="Q260" s="149"/>
      <c r="R260" s="149"/>
      <c r="S260" s="149"/>
      <c r="T260" s="149"/>
      <c r="U260" s="149"/>
      <c r="V260" s="149"/>
      <c r="W260" s="149"/>
      <c r="X260" s="149"/>
      <c r="Y260" s="149"/>
      <c r="Z260" s="149"/>
      <c r="AA260" s="149"/>
      <c r="AB260" s="149"/>
      <c r="AC260" s="149"/>
      <c r="AD260" s="149"/>
      <c r="AE260" s="149"/>
      <c r="AF260" s="149"/>
      <c r="AG260" s="149"/>
      <c r="AH260" s="149"/>
      <c r="AI260" s="149"/>
    </row>
    <row r="261" spans="1:35" ht="48">
      <c r="A261" s="150" t="s">
        <v>49</v>
      </c>
      <c r="B261" s="151">
        <v>43</v>
      </c>
      <c r="C261" s="254" t="s">
        <v>27</v>
      </c>
      <c r="D261" s="151">
        <v>3522</v>
      </c>
      <c r="E261" s="227" t="s">
        <v>755</v>
      </c>
      <c r="F261" s="153" t="s">
        <v>686</v>
      </c>
      <c r="G261" s="883"/>
      <c r="H261" s="879"/>
      <c r="I261" s="880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  <c r="T261" s="149"/>
      <c r="U261" s="149"/>
      <c r="V261" s="149"/>
      <c r="W261" s="149"/>
      <c r="X261" s="149"/>
      <c r="Y261" s="149"/>
      <c r="Z261" s="149"/>
      <c r="AA261" s="149"/>
      <c r="AB261" s="149"/>
      <c r="AC261" s="149"/>
      <c r="AD261" s="149"/>
      <c r="AE261" s="149"/>
      <c r="AF261" s="149"/>
      <c r="AG261" s="149"/>
      <c r="AH261" s="149"/>
      <c r="AI261" s="149"/>
    </row>
    <row r="262" spans="1:35" ht="84">
      <c r="A262" s="150" t="s">
        <v>49</v>
      </c>
      <c r="B262" s="151">
        <v>43</v>
      </c>
      <c r="C262" s="254" t="s">
        <v>27</v>
      </c>
      <c r="D262" s="151">
        <v>3691</v>
      </c>
      <c r="E262" s="227" t="s">
        <v>36</v>
      </c>
      <c r="F262" s="153" t="s">
        <v>686</v>
      </c>
      <c r="G262" s="883"/>
      <c r="H262" s="879"/>
      <c r="I262" s="880"/>
      <c r="J262" s="149"/>
      <c r="K262" s="149"/>
      <c r="L262" s="149"/>
      <c r="M262" s="149"/>
      <c r="N262" s="149"/>
      <c r="O262" s="149"/>
      <c r="P262" s="149"/>
      <c r="Q262" s="149"/>
      <c r="R262" s="149"/>
      <c r="S262" s="149"/>
      <c r="T262" s="149"/>
      <c r="U262" s="149"/>
      <c r="V262" s="149"/>
      <c r="W262" s="149"/>
      <c r="X262" s="149"/>
      <c r="Y262" s="149"/>
      <c r="Z262" s="149"/>
      <c r="AA262" s="149"/>
      <c r="AB262" s="149"/>
      <c r="AC262" s="149"/>
      <c r="AD262" s="149"/>
      <c r="AE262" s="149"/>
      <c r="AF262" s="149"/>
      <c r="AG262" s="149"/>
      <c r="AH262" s="149"/>
      <c r="AI262" s="149"/>
    </row>
    <row r="263" spans="1:35" ht="84">
      <c r="A263" s="150" t="s">
        <v>49</v>
      </c>
      <c r="B263" s="151">
        <v>43</v>
      </c>
      <c r="C263" s="254" t="s">
        <v>27</v>
      </c>
      <c r="D263" s="151">
        <v>3692</v>
      </c>
      <c r="E263" s="227" t="s">
        <v>695</v>
      </c>
      <c r="F263" s="153" t="s">
        <v>686</v>
      </c>
      <c r="G263" s="883"/>
      <c r="H263" s="879"/>
      <c r="I263" s="880"/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  <c r="T263" s="149"/>
      <c r="U263" s="149"/>
      <c r="V263" s="149"/>
      <c r="W263" s="149"/>
      <c r="X263" s="149"/>
      <c r="Y263" s="149"/>
      <c r="Z263" s="149"/>
      <c r="AA263" s="149"/>
      <c r="AB263" s="149"/>
      <c r="AC263" s="149"/>
      <c r="AD263" s="149"/>
      <c r="AE263" s="149"/>
      <c r="AF263" s="149"/>
      <c r="AG263" s="149"/>
      <c r="AH263" s="149"/>
      <c r="AI263" s="149"/>
    </row>
    <row r="264" spans="1:35" ht="48">
      <c r="A264" s="150" t="s">
        <v>49</v>
      </c>
      <c r="B264" s="151">
        <v>43</v>
      </c>
      <c r="C264" s="254" t="s">
        <v>27</v>
      </c>
      <c r="D264" s="151">
        <v>3721</v>
      </c>
      <c r="E264" s="227" t="s">
        <v>84</v>
      </c>
      <c r="F264" s="153" t="s">
        <v>686</v>
      </c>
      <c r="G264" s="883"/>
      <c r="H264" s="879">
        <v>75725</v>
      </c>
      <c r="I264" s="880">
        <v>120000</v>
      </c>
      <c r="J264" s="149"/>
      <c r="K264" s="149"/>
      <c r="L264" s="149"/>
      <c r="M264" s="149"/>
      <c r="N264" s="149"/>
      <c r="O264" s="149"/>
      <c r="P264" s="149"/>
      <c r="Q264" s="149"/>
      <c r="R264" s="149"/>
      <c r="S264" s="149"/>
      <c r="T264" s="149"/>
      <c r="U264" s="149"/>
      <c r="V264" s="149"/>
      <c r="W264" s="149"/>
      <c r="X264" s="149"/>
      <c r="Y264" s="149"/>
      <c r="Z264" s="149"/>
      <c r="AA264" s="149"/>
      <c r="AB264" s="149"/>
      <c r="AC264" s="149"/>
      <c r="AD264" s="149"/>
      <c r="AE264" s="149"/>
      <c r="AF264" s="149"/>
      <c r="AG264" s="149"/>
      <c r="AH264" s="149"/>
      <c r="AI264" s="149"/>
    </row>
    <row r="265" spans="1:35" ht="48">
      <c r="A265" s="150" t="s">
        <v>49</v>
      </c>
      <c r="B265" s="151">
        <v>43</v>
      </c>
      <c r="C265" s="254" t="s">
        <v>27</v>
      </c>
      <c r="D265" s="151">
        <v>3811</v>
      </c>
      <c r="E265" s="227" t="s">
        <v>56</v>
      </c>
      <c r="F265" s="153" t="s">
        <v>686</v>
      </c>
      <c r="G265" s="883"/>
      <c r="H265" s="879">
        <v>4751.5</v>
      </c>
      <c r="I265" s="880">
        <v>10000</v>
      </c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  <c r="T265" s="149"/>
      <c r="U265" s="149"/>
      <c r="V265" s="149"/>
      <c r="W265" s="149"/>
      <c r="X265" s="149"/>
      <c r="Y265" s="149"/>
      <c r="Z265" s="149"/>
      <c r="AA265" s="149"/>
      <c r="AB265" s="149"/>
      <c r="AC265" s="149"/>
      <c r="AD265" s="149"/>
      <c r="AE265" s="149"/>
      <c r="AF265" s="149"/>
      <c r="AG265" s="149"/>
      <c r="AH265" s="149"/>
      <c r="AI265" s="149"/>
    </row>
    <row r="266" spans="1:35" ht="48">
      <c r="A266" s="856" t="s">
        <v>49</v>
      </c>
      <c r="B266" s="854">
        <v>43</v>
      </c>
      <c r="C266" s="857" t="s">
        <v>27</v>
      </c>
      <c r="D266" s="854">
        <v>3812</v>
      </c>
      <c r="E266" s="855" t="s">
        <v>781</v>
      </c>
      <c r="F266" s="863" t="s">
        <v>686</v>
      </c>
      <c r="G266" s="883"/>
      <c r="H266" s="879"/>
      <c r="I266" s="880"/>
      <c r="J266" s="149"/>
      <c r="K266" s="149"/>
      <c r="L266" s="149"/>
      <c r="M266" s="149"/>
      <c r="N266" s="149"/>
      <c r="O266" s="149"/>
      <c r="P266" s="149"/>
      <c r="Q266" s="149"/>
      <c r="R266" s="149"/>
      <c r="S266" s="149"/>
      <c r="T266" s="149"/>
      <c r="U266" s="149"/>
      <c r="V266" s="149"/>
      <c r="W266" s="149"/>
      <c r="X266" s="149"/>
      <c r="Y266" s="149"/>
      <c r="Z266" s="149"/>
      <c r="AA266" s="149"/>
      <c r="AB266" s="149"/>
      <c r="AC266" s="149"/>
      <c r="AD266" s="149"/>
      <c r="AE266" s="149"/>
      <c r="AF266" s="149"/>
      <c r="AG266" s="149"/>
      <c r="AH266" s="149"/>
      <c r="AI266" s="149"/>
    </row>
    <row r="267" spans="1:35" ht="48">
      <c r="A267" s="150" t="s">
        <v>49</v>
      </c>
      <c r="B267" s="151">
        <v>43</v>
      </c>
      <c r="C267" s="254" t="s">
        <v>27</v>
      </c>
      <c r="D267" s="151">
        <v>383</v>
      </c>
      <c r="E267" s="227" t="s">
        <v>756</v>
      </c>
      <c r="F267" s="153" t="s">
        <v>686</v>
      </c>
      <c r="G267" s="883"/>
      <c r="H267" s="879"/>
      <c r="I267" s="880"/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  <c r="T267" s="149"/>
      <c r="U267" s="149"/>
      <c r="V267" s="149"/>
      <c r="W267" s="149"/>
      <c r="X267" s="149"/>
      <c r="Y267" s="149"/>
      <c r="Z267" s="149"/>
      <c r="AA267" s="149"/>
      <c r="AB267" s="149"/>
      <c r="AC267" s="149"/>
      <c r="AD267" s="149"/>
      <c r="AE267" s="149"/>
      <c r="AF267" s="149"/>
      <c r="AG267" s="149"/>
      <c r="AH267" s="149"/>
      <c r="AI267" s="149"/>
    </row>
    <row r="268" spans="1:35" ht="48">
      <c r="A268" s="150" t="s">
        <v>49</v>
      </c>
      <c r="B268" s="151">
        <v>43</v>
      </c>
      <c r="C268" s="254" t="s">
        <v>27</v>
      </c>
      <c r="D268" s="151">
        <v>4123</v>
      </c>
      <c r="E268" s="227" t="s">
        <v>92</v>
      </c>
      <c r="F268" s="153" t="s">
        <v>686</v>
      </c>
      <c r="G268" s="883"/>
      <c r="H268" s="879"/>
      <c r="I268" s="880"/>
      <c r="J268" s="149"/>
      <c r="K268" s="149"/>
      <c r="L268" s="149"/>
      <c r="M268" s="149"/>
      <c r="N268" s="149"/>
      <c r="O268" s="149"/>
      <c r="P268" s="149"/>
      <c r="Q268" s="149"/>
      <c r="R268" s="149"/>
      <c r="S268" s="149"/>
      <c r="T268" s="149"/>
      <c r="U268" s="149"/>
      <c r="V268" s="149"/>
      <c r="W268" s="149"/>
      <c r="X268" s="149"/>
      <c r="Y268" s="149"/>
      <c r="Z268" s="149"/>
      <c r="AA268" s="149"/>
      <c r="AB268" s="149"/>
      <c r="AC268" s="149"/>
      <c r="AD268" s="149"/>
      <c r="AE268" s="149"/>
      <c r="AF268" s="149"/>
      <c r="AG268" s="149"/>
      <c r="AH268" s="149"/>
      <c r="AI268" s="149"/>
    </row>
    <row r="269" spans="1:35" ht="60">
      <c r="A269" s="150" t="s">
        <v>49</v>
      </c>
      <c r="B269" s="151">
        <v>43</v>
      </c>
      <c r="C269" s="254" t="s">
        <v>27</v>
      </c>
      <c r="D269" s="151">
        <v>4124</v>
      </c>
      <c r="E269" s="227" t="s">
        <v>721</v>
      </c>
      <c r="F269" s="153" t="s">
        <v>686</v>
      </c>
      <c r="G269" s="883"/>
      <c r="H269" s="879"/>
      <c r="I269" s="880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  <c r="T269" s="149"/>
      <c r="U269" s="149"/>
      <c r="V269" s="149"/>
      <c r="W269" s="149"/>
      <c r="X269" s="149"/>
      <c r="Y269" s="149"/>
      <c r="Z269" s="149"/>
      <c r="AA269" s="149"/>
      <c r="AB269" s="149"/>
      <c r="AC269" s="149"/>
      <c r="AD269" s="149"/>
      <c r="AE269" s="149"/>
      <c r="AF269" s="149"/>
      <c r="AG269" s="149"/>
      <c r="AH269" s="149"/>
      <c r="AI269" s="149"/>
    </row>
    <row r="270" spans="1:35" ht="48">
      <c r="A270" s="150" t="s">
        <v>49</v>
      </c>
      <c r="B270" s="151">
        <v>43</v>
      </c>
      <c r="C270" s="254" t="s">
        <v>27</v>
      </c>
      <c r="D270" s="151">
        <v>4126</v>
      </c>
      <c r="E270" s="227" t="s">
        <v>757</v>
      </c>
      <c r="F270" s="153" t="s">
        <v>686</v>
      </c>
      <c r="G270" s="883"/>
      <c r="H270" s="879"/>
      <c r="I270" s="880"/>
      <c r="J270" s="149"/>
      <c r="K270" s="149"/>
      <c r="L270" s="149"/>
      <c r="M270" s="149"/>
      <c r="N270" s="149"/>
      <c r="O270" s="149"/>
      <c r="P270" s="149"/>
      <c r="Q270" s="149"/>
      <c r="R270" s="149"/>
      <c r="S270" s="149"/>
      <c r="T270" s="149"/>
      <c r="U270" s="149"/>
      <c r="V270" s="149"/>
      <c r="W270" s="149"/>
      <c r="X270" s="149"/>
      <c r="Y270" s="149"/>
      <c r="Z270" s="149"/>
      <c r="AA270" s="149"/>
      <c r="AB270" s="149"/>
      <c r="AC270" s="149"/>
      <c r="AD270" s="149"/>
      <c r="AE270" s="149"/>
      <c r="AF270" s="149"/>
      <c r="AG270" s="149"/>
      <c r="AH270" s="149"/>
      <c r="AI270" s="149"/>
    </row>
    <row r="271" spans="1:35" ht="48">
      <c r="A271" s="150" t="s">
        <v>49</v>
      </c>
      <c r="B271" s="151">
        <v>43</v>
      </c>
      <c r="C271" s="254" t="s">
        <v>27</v>
      </c>
      <c r="D271" s="151">
        <v>4212</v>
      </c>
      <c r="E271" s="227" t="s">
        <v>58</v>
      </c>
      <c r="F271" s="153" t="s">
        <v>686</v>
      </c>
      <c r="G271" s="883"/>
      <c r="H271" s="879"/>
      <c r="I271" s="880"/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  <c r="T271" s="149"/>
      <c r="U271" s="149"/>
      <c r="V271" s="149"/>
      <c r="W271" s="149"/>
      <c r="X271" s="149"/>
      <c r="Y271" s="149"/>
      <c r="Z271" s="149"/>
      <c r="AA271" s="149"/>
      <c r="AB271" s="149"/>
      <c r="AC271" s="149"/>
      <c r="AD271" s="149"/>
      <c r="AE271" s="149"/>
      <c r="AF271" s="149"/>
      <c r="AG271" s="149"/>
      <c r="AH271" s="149"/>
      <c r="AI271" s="149"/>
    </row>
    <row r="272" spans="1:35" ht="60">
      <c r="A272" s="150" t="s">
        <v>49</v>
      </c>
      <c r="B272" s="151">
        <v>43</v>
      </c>
      <c r="C272" s="254" t="s">
        <v>27</v>
      </c>
      <c r="D272" s="151">
        <v>4213</v>
      </c>
      <c r="E272" s="227" t="s">
        <v>758</v>
      </c>
      <c r="F272" s="153" t="s">
        <v>686</v>
      </c>
      <c r="G272" s="883"/>
      <c r="H272" s="879"/>
      <c r="I272" s="880"/>
      <c r="J272" s="149"/>
      <c r="K272" s="149"/>
      <c r="L272" s="149"/>
      <c r="M272" s="149"/>
      <c r="N272" s="149"/>
      <c r="O272" s="149"/>
      <c r="P272" s="149"/>
      <c r="Q272" s="149"/>
      <c r="R272" s="149"/>
      <c r="S272" s="149"/>
      <c r="T272" s="149"/>
      <c r="U272" s="149"/>
      <c r="V272" s="149"/>
      <c r="W272" s="149"/>
      <c r="X272" s="149"/>
      <c r="Y272" s="149"/>
      <c r="Z272" s="149"/>
      <c r="AA272" s="149"/>
      <c r="AB272" s="149"/>
      <c r="AC272" s="149"/>
      <c r="AD272" s="149"/>
      <c r="AE272" s="149"/>
      <c r="AF272" s="149"/>
      <c r="AG272" s="149"/>
      <c r="AH272" s="149"/>
      <c r="AI272" s="149"/>
    </row>
    <row r="273" spans="1:35" ht="48">
      <c r="A273" s="150" t="s">
        <v>49</v>
      </c>
      <c r="B273" s="151">
        <v>43</v>
      </c>
      <c r="C273" s="254" t="s">
        <v>27</v>
      </c>
      <c r="D273" s="151">
        <v>4214</v>
      </c>
      <c r="E273" s="227" t="s">
        <v>719</v>
      </c>
      <c r="F273" s="153" t="s">
        <v>686</v>
      </c>
      <c r="G273" s="503"/>
      <c r="H273" s="879"/>
      <c r="I273" s="880"/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  <c r="T273" s="149"/>
      <c r="U273" s="149"/>
      <c r="V273" s="149"/>
      <c r="W273" s="149"/>
      <c r="X273" s="149"/>
      <c r="Y273" s="149"/>
      <c r="Z273" s="149"/>
      <c r="AA273" s="149"/>
      <c r="AB273" s="149"/>
      <c r="AC273" s="149"/>
      <c r="AD273" s="149"/>
      <c r="AE273" s="149"/>
      <c r="AF273" s="149"/>
      <c r="AG273" s="149"/>
      <c r="AH273" s="149"/>
      <c r="AI273" s="149"/>
    </row>
    <row r="274" spans="1:35" ht="48">
      <c r="A274" s="150" t="s">
        <v>49</v>
      </c>
      <c r="B274" s="151">
        <v>43</v>
      </c>
      <c r="C274" s="254" t="s">
        <v>27</v>
      </c>
      <c r="D274" s="151">
        <v>4221</v>
      </c>
      <c r="E274" s="227" t="s">
        <v>63</v>
      </c>
      <c r="F274" s="153" t="s">
        <v>686</v>
      </c>
      <c r="G274" s="503">
        <f>300000-150000</f>
        <v>150000</v>
      </c>
      <c r="H274" s="879">
        <v>96700</v>
      </c>
      <c r="I274" s="880">
        <v>105000</v>
      </c>
      <c r="J274" s="149"/>
      <c r="K274" s="149"/>
      <c r="L274" s="149"/>
      <c r="M274" s="149"/>
      <c r="N274" s="149"/>
      <c r="O274" s="149"/>
      <c r="P274" s="149"/>
      <c r="Q274" s="149"/>
      <c r="R274" s="149"/>
      <c r="S274" s="149"/>
      <c r="T274" s="149"/>
      <c r="U274" s="149"/>
      <c r="V274" s="149"/>
      <c r="W274" s="149"/>
      <c r="X274" s="149"/>
      <c r="Y274" s="149"/>
      <c r="Z274" s="149"/>
      <c r="AA274" s="149"/>
      <c r="AB274" s="149"/>
      <c r="AC274" s="149"/>
      <c r="AD274" s="149"/>
      <c r="AE274" s="149"/>
      <c r="AF274" s="149"/>
      <c r="AG274" s="149"/>
      <c r="AH274" s="149"/>
      <c r="AI274" s="149"/>
    </row>
    <row r="275" spans="1:35" ht="48">
      <c r="A275" s="150" t="s">
        <v>49</v>
      </c>
      <c r="B275" s="151">
        <v>43</v>
      </c>
      <c r="C275" s="254" t="s">
        <v>27</v>
      </c>
      <c r="D275" s="151">
        <v>4222</v>
      </c>
      <c r="E275" s="227" t="s">
        <v>72</v>
      </c>
      <c r="F275" s="153" t="s">
        <v>686</v>
      </c>
      <c r="G275" s="503"/>
      <c r="H275" s="879">
        <v>9360</v>
      </c>
      <c r="I275" s="880">
        <v>11000</v>
      </c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  <c r="T275" s="149"/>
      <c r="U275" s="149"/>
      <c r="V275" s="149"/>
      <c r="W275" s="149"/>
      <c r="X275" s="149"/>
      <c r="Y275" s="149"/>
      <c r="Z275" s="149"/>
      <c r="AA275" s="149"/>
      <c r="AB275" s="149"/>
      <c r="AC275" s="149"/>
      <c r="AD275" s="149"/>
      <c r="AE275" s="149"/>
      <c r="AF275" s="149"/>
      <c r="AG275" s="149"/>
      <c r="AH275" s="149"/>
      <c r="AI275" s="149"/>
    </row>
    <row r="276" spans="1:35" ht="48">
      <c r="A276" s="150" t="s">
        <v>49</v>
      </c>
      <c r="B276" s="151">
        <v>43</v>
      </c>
      <c r="C276" s="254" t="s">
        <v>27</v>
      </c>
      <c r="D276" s="151">
        <v>4223</v>
      </c>
      <c r="E276" s="227" t="s">
        <v>90</v>
      </c>
      <c r="F276" s="153" t="s">
        <v>686</v>
      </c>
      <c r="G276" s="503">
        <v>15000</v>
      </c>
      <c r="H276" s="879">
        <v>18338.71</v>
      </c>
      <c r="I276" s="880">
        <v>20000</v>
      </c>
      <c r="J276" s="149"/>
      <c r="K276" s="149"/>
      <c r="L276" s="149"/>
      <c r="M276" s="149"/>
      <c r="N276" s="149"/>
      <c r="O276" s="149"/>
      <c r="P276" s="149"/>
      <c r="Q276" s="149"/>
      <c r="R276" s="149"/>
      <c r="S276" s="149"/>
      <c r="T276" s="149"/>
      <c r="U276" s="149"/>
      <c r="V276" s="149"/>
      <c r="W276" s="149"/>
      <c r="X276" s="149"/>
      <c r="Y276" s="149"/>
      <c r="Z276" s="149"/>
      <c r="AA276" s="149"/>
      <c r="AB276" s="149"/>
      <c r="AC276" s="149"/>
      <c r="AD276" s="149"/>
      <c r="AE276" s="149"/>
      <c r="AF276" s="149"/>
      <c r="AG276" s="149"/>
      <c r="AH276" s="149"/>
      <c r="AI276" s="149"/>
    </row>
    <row r="277" spans="1:35" ht="48">
      <c r="A277" s="150" t="s">
        <v>49</v>
      </c>
      <c r="B277" s="151">
        <v>43</v>
      </c>
      <c r="C277" s="254" t="s">
        <v>27</v>
      </c>
      <c r="D277" s="151">
        <v>4224</v>
      </c>
      <c r="E277" s="227" t="s">
        <v>73</v>
      </c>
      <c r="F277" s="153" t="s">
        <v>686</v>
      </c>
      <c r="G277" s="503"/>
      <c r="H277" s="879"/>
      <c r="I277" s="880"/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  <c r="T277" s="149"/>
      <c r="U277" s="149"/>
      <c r="V277" s="149"/>
      <c r="W277" s="149"/>
      <c r="X277" s="149"/>
      <c r="Y277" s="149"/>
      <c r="Z277" s="149"/>
      <c r="AA277" s="149"/>
      <c r="AB277" s="149"/>
      <c r="AC277" s="149"/>
      <c r="AD277" s="149"/>
      <c r="AE277" s="149"/>
      <c r="AF277" s="149"/>
      <c r="AG277" s="149"/>
      <c r="AH277" s="149"/>
      <c r="AI277" s="149"/>
    </row>
    <row r="278" spans="1:35" ht="48">
      <c r="A278" s="150" t="s">
        <v>49</v>
      </c>
      <c r="B278" s="151">
        <v>43</v>
      </c>
      <c r="C278" s="254" t="s">
        <v>27</v>
      </c>
      <c r="D278" s="151">
        <v>4225</v>
      </c>
      <c r="E278" s="227" t="s">
        <v>85</v>
      </c>
      <c r="F278" s="153" t="s">
        <v>686</v>
      </c>
      <c r="G278" s="503"/>
      <c r="H278" s="879"/>
      <c r="I278" s="880"/>
      <c r="J278" s="149"/>
      <c r="K278" s="149"/>
      <c r="L278" s="149"/>
      <c r="M278" s="149"/>
      <c r="N278" s="149"/>
      <c r="O278" s="149"/>
      <c r="P278" s="149"/>
      <c r="Q278" s="149"/>
      <c r="R278" s="149"/>
      <c r="S278" s="149"/>
      <c r="T278" s="149"/>
      <c r="U278" s="149"/>
      <c r="V278" s="149"/>
      <c r="W278" s="149"/>
      <c r="X278" s="149"/>
      <c r="Y278" s="149"/>
      <c r="Z278" s="149"/>
      <c r="AA278" s="149"/>
      <c r="AB278" s="149"/>
      <c r="AC278" s="149"/>
      <c r="AD278" s="149"/>
      <c r="AE278" s="149"/>
      <c r="AF278" s="149"/>
      <c r="AG278" s="149"/>
      <c r="AH278" s="149"/>
      <c r="AI278" s="149"/>
    </row>
    <row r="279" spans="1:35" ht="48">
      <c r="A279" s="150" t="s">
        <v>49</v>
      </c>
      <c r="B279" s="151">
        <v>43</v>
      </c>
      <c r="C279" s="254" t="s">
        <v>27</v>
      </c>
      <c r="D279" s="151">
        <v>4226</v>
      </c>
      <c r="E279" s="227" t="s">
        <v>716</v>
      </c>
      <c r="F279" s="153" t="s">
        <v>686</v>
      </c>
      <c r="G279" s="503"/>
      <c r="H279" s="879"/>
      <c r="I279" s="880"/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  <c r="T279" s="149"/>
      <c r="U279" s="149"/>
      <c r="V279" s="149"/>
      <c r="W279" s="149"/>
      <c r="X279" s="149"/>
      <c r="Y279" s="149"/>
      <c r="Z279" s="149"/>
      <c r="AA279" s="149"/>
      <c r="AB279" s="149"/>
      <c r="AC279" s="149"/>
      <c r="AD279" s="149"/>
      <c r="AE279" s="149"/>
      <c r="AF279" s="149"/>
      <c r="AG279" s="149"/>
      <c r="AH279" s="149"/>
      <c r="AI279" s="149"/>
    </row>
    <row r="280" spans="1:35" ht="60">
      <c r="A280" s="150" t="s">
        <v>49</v>
      </c>
      <c r="B280" s="151">
        <v>43</v>
      </c>
      <c r="C280" s="254" t="s">
        <v>27</v>
      </c>
      <c r="D280" s="151">
        <v>4227</v>
      </c>
      <c r="E280" s="227" t="s">
        <v>93</v>
      </c>
      <c r="F280" s="153" t="s">
        <v>686</v>
      </c>
      <c r="G280" s="503"/>
      <c r="H280" s="879"/>
      <c r="I280" s="880"/>
      <c r="J280" s="149"/>
      <c r="K280" s="149"/>
      <c r="L280" s="149"/>
      <c r="M280" s="149"/>
      <c r="N280" s="149"/>
      <c r="O280" s="149"/>
      <c r="P280" s="149"/>
      <c r="Q280" s="149"/>
      <c r="R280" s="149"/>
      <c r="S280" s="149"/>
      <c r="T280" s="149"/>
      <c r="U280" s="149"/>
      <c r="V280" s="149"/>
      <c r="W280" s="149"/>
      <c r="X280" s="149"/>
      <c r="Y280" s="149"/>
      <c r="Z280" s="149"/>
      <c r="AA280" s="149"/>
      <c r="AB280" s="149"/>
      <c r="AC280" s="149"/>
      <c r="AD280" s="149"/>
      <c r="AE280" s="149"/>
      <c r="AF280" s="149"/>
      <c r="AG280" s="149"/>
      <c r="AH280" s="149"/>
      <c r="AI280" s="149"/>
    </row>
    <row r="281" spans="1:35" ht="48">
      <c r="A281" s="150" t="s">
        <v>49</v>
      </c>
      <c r="B281" s="151">
        <v>43</v>
      </c>
      <c r="C281" s="254" t="s">
        <v>27</v>
      </c>
      <c r="D281" s="151">
        <v>4231</v>
      </c>
      <c r="E281" s="227" t="s">
        <v>98</v>
      </c>
      <c r="F281" s="153" t="s">
        <v>686</v>
      </c>
      <c r="G281" s="883"/>
      <c r="H281" s="879"/>
      <c r="I281" s="880"/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  <c r="T281" s="149"/>
      <c r="U281" s="149"/>
      <c r="V281" s="149"/>
      <c r="W281" s="149"/>
      <c r="X281" s="149"/>
      <c r="Y281" s="149"/>
      <c r="Z281" s="149"/>
      <c r="AA281" s="149"/>
      <c r="AB281" s="149"/>
      <c r="AC281" s="149"/>
      <c r="AD281" s="149"/>
      <c r="AE281" s="149"/>
      <c r="AF281" s="149"/>
      <c r="AG281" s="149"/>
      <c r="AH281" s="149"/>
      <c r="AI281" s="149"/>
    </row>
    <row r="282" spans="1:35" ht="60">
      <c r="A282" s="150" t="s">
        <v>49</v>
      </c>
      <c r="B282" s="151">
        <v>43</v>
      </c>
      <c r="C282" s="254" t="s">
        <v>27</v>
      </c>
      <c r="D282" s="151">
        <v>4233</v>
      </c>
      <c r="E282" s="227" t="s">
        <v>759</v>
      </c>
      <c r="F282" s="153" t="s">
        <v>686</v>
      </c>
      <c r="G282" s="503"/>
      <c r="H282" s="879"/>
      <c r="I282" s="880"/>
      <c r="J282" s="149"/>
      <c r="K282" s="149"/>
      <c r="L282" s="149"/>
      <c r="M282" s="149"/>
      <c r="N282" s="149"/>
      <c r="O282" s="149"/>
      <c r="P282" s="149"/>
      <c r="Q282" s="149"/>
      <c r="R282" s="149"/>
      <c r="S282" s="149"/>
      <c r="T282" s="149"/>
      <c r="U282" s="149"/>
      <c r="V282" s="149"/>
      <c r="W282" s="149"/>
      <c r="X282" s="149"/>
      <c r="Y282" s="149"/>
      <c r="Z282" s="149"/>
      <c r="AA282" s="149"/>
      <c r="AB282" s="149"/>
      <c r="AC282" s="149"/>
      <c r="AD282" s="149"/>
      <c r="AE282" s="149"/>
      <c r="AF282" s="149"/>
      <c r="AG282" s="149"/>
      <c r="AH282" s="149"/>
      <c r="AI282" s="149"/>
    </row>
    <row r="283" spans="1:35" ht="48">
      <c r="A283" s="150" t="s">
        <v>49</v>
      </c>
      <c r="B283" s="151">
        <v>43</v>
      </c>
      <c r="C283" s="254" t="s">
        <v>27</v>
      </c>
      <c r="D283" s="151">
        <v>4241</v>
      </c>
      <c r="E283" s="227" t="s">
        <v>74</v>
      </c>
      <c r="F283" s="153" t="s">
        <v>686</v>
      </c>
      <c r="G283" s="503">
        <v>35000</v>
      </c>
      <c r="H283" s="879"/>
      <c r="I283" s="880"/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  <c r="T283" s="149"/>
      <c r="U283" s="149"/>
      <c r="V283" s="149"/>
      <c r="W283" s="149"/>
      <c r="X283" s="149"/>
      <c r="Y283" s="149"/>
      <c r="Z283" s="149"/>
      <c r="AA283" s="149"/>
      <c r="AB283" s="149"/>
      <c r="AC283" s="149"/>
      <c r="AD283" s="149"/>
      <c r="AE283" s="149"/>
      <c r="AF283" s="149"/>
      <c r="AG283" s="149"/>
      <c r="AH283" s="149"/>
      <c r="AI283" s="149"/>
    </row>
    <row r="284" spans="1:35" ht="48">
      <c r="A284" s="150" t="s">
        <v>49</v>
      </c>
      <c r="B284" s="151">
        <v>43</v>
      </c>
      <c r="C284" s="254" t="s">
        <v>27</v>
      </c>
      <c r="D284" s="151">
        <v>4244</v>
      </c>
      <c r="E284" s="227" t="s">
        <v>760</v>
      </c>
      <c r="F284" s="153" t="s">
        <v>686</v>
      </c>
      <c r="G284" s="883"/>
      <c r="H284" s="879"/>
      <c r="I284" s="880"/>
      <c r="J284" s="149"/>
      <c r="K284" s="149"/>
      <c r="L284" s="149"/>
      <c r="M284" s="149"/>
      <c r="N284" s="149"/>
      <c r="O284" s="149"/>
      <c r="P284" s="149"/>
      <c r="Q284" s="149"/>
      <c r="R284" s="149"/>
      <c r="S284" s="149"/>
      <c r="T284" s="149"/>
      <c r="U284" s="149"/>
      <c r="V284" s="149"/>
      <c r="W284" s="149"/>
      <c r="X284" s="149"/>
      <c r="Y284" s="149"/>
      <c r="Z284" s="149"/>
      <c r="AA284" s="149"/>
      <c r="AB284" s="149"/>
      <c r="AC284" s="149"/>
      <c r="AD284" s="149"/>
      <c r="AE284" s="149"/>
      <c r="AF284" s="149"/>
      <c r="AG284" s="149"/>
      <c r="AH284" s="149"/>
      <c r="AI284" s="149"/>
    </row>
    <row r="285" spans="1:35" ht="48">
      <c r="A285" s="150" t="s">
        <v>49</v>
      </c>
      <c r="B285" s="151">
        <v>43</v>
      </c>
      <c r="C285" s="254" t="s">
        <v>27</v>
      </c>
      <c r="D285" s="151">
        <v>4262</v>
      </c>
      <c r="E285" s="227" t="s">
        <v>86</v>
      </c>
      <c r="F285" s="153" t="s">
        <v>686</v>
      </c>
      <c r="G285" s="883"/>
      <c r="H285" s="879"/>
      <c r="I285" s="880"/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  <c r="T285" s="149"/>
      <c r="U285" s="149"/>
      <c r="V285" s="149"/>
      <c r="W285" s="149"/>
      <c r="X285" s="149"/>
      <c r="Y285" s="149"/>
      <c r="Z285" s="149"/>
      <c r="AA285" s="149"/>
      <c r="AB285" s="149"/>
      <c r="AC285" s="149"/>
      <c r="AD285" s="149"/>
      <c r="AE285" s="149"/>
      <c r="AF285" s="149"/>
      <c r="AG285" s="149"/>
      <c r="AH285" s="149"/>
      <c r="AI285" s="149"/>
    </row>
    <row r="286" spans="1:35" ht="60">
      <c r="A286" s="150" t="s">
        <v>49</v>
      </c>
      <c r="B286" s="151">
        <v>43</v>
      </c>
      <c r="C286" s="254" t="s">
        <v>27</v>
      </c>
      <c r="D286" s="151">
        <v>4264</v>
      </c>
      <c r="E286" s="227" t="s">
        <v>761</v>
      </c>
      <c r="F286" s="153" t="s">
        <v>686</v>
      </c>
      <c r="G286" s="883"/>
      <c r="H286" s="879"/>
      <c r="I286" s="880"/>
      <c r="J286" s="149"/>
      <c r="K286" s="149"/>
      <c r="L286" s="149"/>
      <c r="M286" s="149"/>
      <c r="N286" s="149"/>
      <c r="O286" s="149"/>
      <c r="P286" s="149"/>
      <c r="Q286" s="149"/>
      <c r="R286" s="149"/>
      <c r="S286" s="149"/>
      <c r="T286" s="149"/>
      <c r="U286" s="149"/>
      <c r="V286" s="149"/>
      <c r="W286" s="149"/>
      <c r="X286" s="149"/>
      <c r="Y286" s="149"/>
      <c r="Z286" s="149"/>
      <c r="AA286" s="149"/>
      <c r="AB286" s="149"/>
      <c r="AC286" s="149"/>
      <c r="AD286" s="149"/>
      <c r="AE286" s="149"/>
      <c r="AF286" s="149"/>
      <c r="AG286" s="149"/>
      <c r="AH286" s="149"/>
      <c r="AI286" s="149"/>
    </row>
    <row r="287" spans="1:35" ht="60">
      <c r="A287" s="150" t="s">
        <v>49</v>
      </c>
      <c r="B287" s="151">
        <v>43</v>
      </c>
      <c r="C287" s="254" t="s">
        <v>27</v>
      </c>
      <c r="D287" s="151">
        <v>4312</v>
      </c>
      <c r="E287" s="227" t="s">
        <v>684</v>
      </c>
      <c r="F287" s="153" t="s">
        <v>686</v>
      </c>
      <c r="G287" s="883"/>
      <c r="H287" s="879"/>
      <c r="I287" s="880"/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  <c r="T287" s="149"/>
      <c r="U287" s="149"/>
      <c r="V287" s="149"/>
      <c r="W287" s="149"/>
      <c r="X287" s="149"/>
      <c r="Y287" s="149"/>
      <c r="Z287" s="149"/>
      <c r="AA287" s="149"/>
      <c r="AB287" s="149"/>
      <c r="AC287" s="149"/>
      <c r="AD287" s="149"/>
      <c r="AE287" s="149"/>
      <c r="AF287" s="149"/>
      <c r="AG287" s="149"/>
      <c r="AH287" s="149"/>
      <c r="AI287" s="149"/>
    </row>
    <row r="288" spans="1:35" ht="48">
      <c r="A288" s="150" t="s">
        <v>49</v>
      </c>
      <c r="B288" s="151">
        <v>43</v>
      </c>
      <c r="C288" s="254" t="s">
        <v>27</v>
      </c>
      <c r="D288" s="155">
        <v>4511</v>
      </c>
      <c r="E288" s="228" t="s">
        <v>91</v>
      </c>
      <c r="F288" s="153" t="s">
        <v>686</v>
      </c>
      <c r="G288" s="883"/>
      <c r="H288" s="879">
        <v>200000</v>
      </c>
      <c r="I288" s="880">
        <v>200000</v>
      </c>
      <c r="J288" s="149"/>
      <c r="K288" s="149"/>
      <c r="L288" s="149"/>
      <c r="M288" s="149"/>
      <c r="N288" s="149"/>
      <c r="O288" s="149"/>
      <c r="P288" s="149"/>
      <c r="Q288" s="149"/>
      <c r="R288" s="149"/>
      <c r="S288" s="149"/>
      <c r="T288" s="149"/>
      <c r="U288" s="149"/>
      <c r="V288" s="149"/>
      <c r="W288" s="149"/>
      <c r="X288" s="149"/>
      <c r="Y288" s="149"/>
      <c r="Z288" s="149"/>
      <c r="AA288" s="149"/>
      <c r="AB288" s="149"/>
      <c r="AC288" s="149"/>
      <c r="AD288" s="149"/>
      <c r="AE288" s="149"/>
      <c r="AF288" s="149"/>
      <c r="AG288" s="149"/>
      <c r="AH288" s="149"/>
      <c r="AI288" s="149"/>
    </row>
    <row r="289" spans="1:35" ht="48.75" thickBot="1">
      <c r="A289" s="150" t="s">
        <v>49</v>
      </c>
      <c r="B289" s="151">
        <v>43</v>
      </c>
      <c r="C289" s="254" t="s">
        <v>27</v>
      </c>
      <c r="D289" s="155">
        <v>4521</v>
      </c>
      <c r="E289" s="228" t="s">
        <v>95</v>
      </c>
      <c r="F289" s="153" t="s">
        <v>686</v>
      </c>
      <c r="G289" s="883"/>
      <c r="H289" s="879"/>
      <c r="I289" s="880"/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  <c r="T289" s="149"/>
      <c r="U289" s="149"/>
      <c r="V289" s="149"/>
      <c r="W289" s="149"/>
      <c r="X289" s="149"/>
      <c r="Y289" s="149"/>
      <c r="Z289" s="149"/>
      <c r="AA289" s="149"/>
      <c r="AB289" s="149"/>
      <c r="AC289" s="149"/>
      <c r="AD289" s="149"/>
      <c r="AE289" s="149"/>
      <c r="AF289" s="149"/>
      <c r="AG289" s="149"/>
      <c r="AH289" s="149"/>
      <c r="AI289" s="149"/>
    </row>
    <row r="290" spans="1:35" s="166" customFormat="1" ht="36.75" thickBot="1">
      <c r="A290" s="167" t="s">
        <v>49</v>
      </c>
      <c r="B290" s="168">
        <v>43</v>
      </c>
      <c r="C290" s="257" t="s">
        <v>27</v>
      </c>
      <c r="D290" s="168"/>
      <c r="E290" s="231" t="s">
        <v>161</v>
      </c>
      <c r="F290" s="169" t="s">
        <v>686</v>
      </c>
      <c r="G290" s="885">
        <f>SUM(G222:G289)</f>
        <v>1626005</v>
      </c>
      <c r="H290" s="886">
        <f>SUM(H222:H289)</f>
        <v>1668273.1300000001</v>
      </c>
      <c r="I290" s="887">
        <f>SUM(I222:I289)</f>
        <v>2292450</v>
      </c>
      <c r="J290" s="165"/>
      <c r="K290" s="165"/>
      <c r="L290" s="165"/>
      <c r="M290" s="165"/>
      <c r="N290" s="165"/>
      <c r="O290" s="165"/>
      <c r="P290" s="165"/>
      <c r="Q290" s="165"/>
      <c r="R290" s="165"/>
      <c r="S290" s="165"/>
      <c r="T290" s="165"/>
      <c r="U290" s="165"/>
      <c r="V290" s="165"/>
      <c r="W290" s="165"/>
      <c r="X290" s="165"/>
      <c r="Y290" s="165"/>
      <c r="Z290" s="165"/>
      <c r="AA290" s="165"/>
      <c r="AB290" s="165"/>
      <c r="AC290" s="165"/>
      <c r="AD290" s="165"/>
      <c r="AE290" s="165"/>
      <c r="AF290" s="165"/>
      <c r="AG290" s="165"/>
      <c r="AH290" s="165"/>
      <c r="AI290" s="165"/>
    </row>
    <row r="291" spans="1:35" s="166" customFormat="1" ht="36.75" thickBot="1">
      <c r="A291" s="162" t="s">
        <v>49</v>
      </c>
      <c r="B291" s="163">
        <v>43</v>
      </c>
      <c r="C291" s="243" t="s">
        <v>27</v>
      </c>
      <c r="D291" s="163"/>
      <c r="E291" s="230" t="s">
        <v>734</v>
      </c>
      <c r="F291" s="164"/>
      <c r="G291" s="878">
        <f>G221+G290</f>
        <v>1626005</v>
      </c>
      <c r="H291" s="878">
        <f t="shared" ref="H291" si="3">H221+H290</f>
        <v>1668273.1300000001</v>
      </c>
      <c r="I291" s="878">
        <f>I221+I290</f>
        <v>2292450</v>
      </c>
      <c r="J291" s="134"/>
      <c r="K291" s="165"/>
      <c r="L291" s="165"/>
      <c r="M291" s="165"/>
      <c r="N291" s="165"/>
      <c r="O291" s="165"/>
      <c r="P291" s="165"/>
      <c r="Q291" s="165"/>
      <c r="R291" s="165"/>
      <c r="S291" s="165"/>
      <c r="T291" s="165"/>
      <c r="U291" s="165"/>
      <c r="V291" s="165"/>
      <c r="W291" s="165"/>
      <c r="X291" s="165"/>
      <c r="Y291" s="165"/>
      <c r="Z291" s="165"/>
      <c r="AA291" s="165"/>
      <c r="AB291" s="165"/>
      <c r="AC291" s="165"/>
      <c r="AD291" s="165"/>
      <c r="AE291" s="165"/>
      <c r="AF291" s="165"/>
      <c r="AG291" s="165"/>
      <c r="AH291" s="165"/>
      <c r="AI291" s="165"/>
    </row>
    <row r="292" spans="1:35" ht="36">
      <c r="A292" s="146" t="s">
        <v>49</v>
      </c>
      <c r="B292" s="147">
        <v>51</v>
      </c>
      <c r="C292" s="253" t="s">
        <v>30</v>
      </c>
      <c r="D292" s="192">
        <v>3121</v>
      </c>
      <c r="E292" s="232" t="s">
        <v>51</v>
      </c>
      <c r="F292" s="148" t="s">
        <v>686</v>
      </c>
      <c r="G292" s="883"/>
      <c r="H292" s="879"/>
      <c r="I292" s="880"/>
      <c r="J292" s="374"/>
      <c r="K292" s="149"/>
      <c r="L292" s="149"/>
      <c r="M292" s="149"/>
      <c r="N292" s="149"/>
      <c r="O292" s="149"/>
      <c r="P292" s="149"/>
      <c r="Q292" s="149"/>
      <c r="R292" s="149"/>
      <c r="S292" s="149"/>
      <c r="T292" s="149"/>
      <c r="U292" s="149"/>
      <c r="V292" s="149"/>
      <c r="W292" s="149"/>
      <c r="X292" s="149"/>
      <c r="Y292" s="149"/>
      <c r="Z292" s="149"/>
      <c r="AA292" s="149"/>
      <c r="AB292" s="149"/>
      <c r="AC292" s="149"/>
      <c r="AD292" s="149"/>
      <c r="AE292" s="149"/>
      <c r="AF292" s="149"/>
      <c r="AG292" s="149"/>
      <c r="AH292" s="149"/>
      <c r="AI292" s="149"/>
    </row>
    <row r="293" spans="1:35" ht="24">
      <c r="A293" s="146" t="s">
        <v>49</v>
      </c>
      <c r="B293" s="147">
        <v>51</v>
      </c>
      <c r="C293" s="253" t="s">
        <v>30</v>
      </c>
      <c r="D293" s="193">
        <v>3211</v>
      </c>
      <c r="E293" s="233" t="s">
        <v>60</v>
      </c>
      <c r="F293" s="148" t="s">
        <v>686</v>
      </c>
      <c r="G293" s="883"/>
      <c r="H293" s="879"/>
      <c r="I293" s="880"/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  <c r="T293" s="149"/>
      <c r="U293" s="149"/>
      <c r="V293" s="149"/>
      <c r="W293" s="149"/>
      <c r="X293" s="149"/>
      <c r="Y293" s="149"/>
      <c r="Z293" s="149"/>
      <c r="AA293" s="149"/>
      <c r="AB293" s="149"/>
      <c r="AC293" s="149"/>
      <c r="AD293" s="149"/>
      <c r="AE293" s="149"/>
      <c r="AF293" s="149"/>
      <c r="AG293" s="149"/>
      <c r="AH293" s="149"/>
      <c r="AI293" s="149"/>
    </row>
    <row r="294" spans="1:35" ht="72">
      <c r="A294" s="146" t="s">
        <v>49</v>
      </c>
      <c r="B294" s="147">
        <v>51</v>
      </c>
      <c r="C294" s="253" t="s">
        <v>30</v>
      </c>
      <c r="D294" s="192">
        <v>3212</v>
      </c>
      <c r="E294" s="232" t="s">
        <v>53</v>
      </c>
      <c r="F294" s="148" t="s">
        <v>686</v>
      </c>
      <c r="G294" s="883"/>
      <c r="H294" s="879"/>
      <c r="I294" s="880"/>
      <c r="J294" s="149"/>
      <c r="K294" s="149"/>
      <c r="L294" s="149"/>
      <c r="M294" s="149"/>
      <c r="N294" s="149"/>
      <c r="O294" s="149"/>
      <c r="P294" s="149"/>
      <c r="Q294" s="149"/>
      <c r="R294" s="149"/>
      <c r="S294" s="149"/>
      <c r="T294" s="149"/>
      <c r="U294" s="149"/>
      <c r="V294" s="149"/>
      <c r="W294" s="149"/>
      <c r="X294" s="149"/>
      <c r="Y294" s="149"/>
      <c r="Z294" s="149"/>
      <c r="AA294" s="149"/>
      <c r="AB294" s="149"/>
      <c r="AC294" s="149"/>
      <c r="AD294" s="149"/>
      <c r="AE294" s="149"/>
      <c r="AF294" s="149"/>
      <c r="AG294" s="149"/>
      <c r="AH294" s="149"/>
      <c r="AI294" s="149"/>
    </row>
    <row r="295" spans="1:35">
      <c r="A295" s="146" t="s">
        <v>49</v>
      </c>
      <c r="B295" s="147">
        <v>51</v>
      </c>
      <c r="C295" s="253" t="s">
        <v>30</v>
      </c>
      <c r="D295" s="192">
        <v>3223</v>
      </c>
      <c r="E295" s="232" t="s">
        <v>77</v>
      </c>
      <c r="F295" s="148" t="s">
        <v>686</v>
      </c>
      <c r="G295" s="883"/>
      <c r="H295" s="879"/>
      <c r="I295" s="880"/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  <c r="T295" s="149"/>
      <c r="U295" s="149"/>
      <c r="V295" s="149"/>
      <c r="W295" s="149"/>
      <c r="X295" s="149"/>
      <c r="Y295" s="149"/>
      <c r="Z295" s="149"/>
      <c r="AA295" s="149"/>
      <c r="AB295" s="149"/>
      <c r="AC295" s="149"/>
      <c r="AD295" s="149"/>
      <c r="AE295" s="149"/>
      <c r="AF295" s="149"/>
      <c r="AG295" s="149"/>
      <c r="AH295" s="149"/>
      <c r="AI295" s="149"/>
    </row>
    <row r="296" spans="1:35" ht="36">
      <c r="A296" s="146" t="s">
        <v>49</v>
      </c>
      <c r="B296" s="147">
        <v>51</v>
      </c>
      <c r="C296" s="253" t="s">
        <v>30</v>
      </c>
      <c r="D296" s="194">
        <v>3237</v>
      </c>
      <c r="E296" s="234" t="s">
        <v>62</v>
      </c>
      <c r="F296" s="148" t="s">
        <v>686</v>
      </c>
      <c r="G296" s="883"/>
      <c r="H296" s="879"/>
      <c r="I296" s="880"/>
      <c r="J296" s="149"/>
      <c r="K296" s="149"/>
      <c r="L296" s="149"/>
      <c r="M296" s="149"/>
      <c r="N296" s="149"/>
      <c r="O296" s="149"/>
      <c r="P296" s="149"/>
      <c r="Q296" s="149"/>
      <c r="R296" s="149"/>
      <c r="S296" s="149"/>
      <c r="T296" s="149"/>
      <c r="U296" s="149"/>
      <c r="V296" s="149"/>
      <c r="W296" s="149"/>
      <c r="X296" s="149"/>
      <c r="Y296" s="149"/>
      <c r="Z296" s="149"/>
      <c r="AA296" s="149"/>
      <c r="AB296" s="149"/>
      <c r="AC296" s="149"/>
      <c r="AD296" s="149"/>
      <c r="AE296" s="149"/>
      <c r="AF296" s="149"/>
      <c r="AG296" s="149"/>
      <c r="AH296" s="149"/>
      <c r="AI296" s="149"/>
    </row>
    <row r="297" spans="1:35" ht="60">
      <c r="A297" s="146" t="s">
        <v>49</v>
      </c>
      <c r="B297" s="147">
        <v>51</v>
      </c>
      <c r="C297" s="253" t="s">
        <v>30</v>
      </c>
      <c r="D297" s="192">
        <v>3241</v>
      </c>
      <c r="E297" s="232" t="s">
        <v>67</v>
      </c>
      <c r="F297" s="148" t="s">
        <v>686</v>
      </c>
      <c r="G297" s="883"/>
      <c r="H297" s="879"/>
      <c r="I297" s="880"/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  <c r="T297" s="149"/>
      <c r="U297" s="149"/>
      <c r="V297" s="149"/>
      <c r="W297" s="149"/>
      <c r="X297" s="149"/>
      <c r="Y297" s="149"/>
      <c r="Z297" s="149"/>
      <c r="AA297" s="149"/>
      <c r="AB297" s="149"/>
      <c r="AC297" s="149"/>
      <c r="AD297" s="149"/>
      <c r="AE297" s="149"/>
      <c r="AF297" s="149"/>
      <c r="AG297" s="149"/>
      <c r="AH297" s="149"/>
      <c r="AI297" s="149"/>
    </row>
    <row r="298" spans="1:35" ht="48">
      <c r="A298" s="146" t="s">
        <v>49</v>
      </c>
      <c r="B298" s="147">
        <v>51</v>
      </c>
      <c r="C298" s="253" t="s">
        <v>30</v>
      </c>
      <c r="D298" s="192">
        <v>3721</v>
      </c>
      <c r="E298" s="232" t="s">
        <v>84</v>
      </c>
      <c r="F298" s="148" t="s">
        <v>686</v>
      </c>
      <c r="G298" s="883"/>
      <c r="H298" s="879"/>
      <c r="I298" s="880"/>
      <c r="J298" s="149"/>
      <c r="K298" s="149"/>
      <c r="L298" s="149"/>
      <c r="M298" s="149"/>
      <c r="N298" s="149"/>
      <c r="O298" s="149"/>
      <c r="P298" s="149"/>
      <c r="Q298" s="149"/>
      <c r="R298" s="149"/>
      <c r="S298" s="149"/>
      <c r="T298" s="149"/>
      <c r="U298" s="149"/>
      <c r="V298" s="149"/>
      <c r="W298" s="149"/>
      <c r="X298" s="149"/>
      <c r="Y298" s="149"/>
      <c r="Z298" s="149"/>
      <c r="AA298" s="149"/>
      <c r="AB298" s="149"/>
      <c r="AC298" s="149"/>
      <c r="AD298" s="149"/>
      <c r="AE298" s="149"/>
      <c r="AF298" s="149"/>
      <c r="AG298" s="149"/>
      <c r="AH298" s="149"/>
      <c r="AI298" s="149"/>
    </row>
    <row r="299" spans="1:35" ht="36">
      <c r="A299" s="150" t="s">
        <v>49</v>
      </c>
      <c r="B299" s="151">
        <v>51</v>
      </c>
      <c r="C299" s="254" t="s">
        <v>30</v>
      </c>
      <c r="D299" s="192">
        <v>3811</v>
      </c>
      <c r="E299" s="232" t="s">
        <v>56</v>
      </c>
      <c r="F299" s="153" t="s">
        <v>686</v>
      </c>
      <c r="G299" s="883"/>
      <c r="H299" s="879"/>
      <c r="I299" s="880"/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  <c r="T299" s="149"/>
      <c r="U299" s="149"/>
      <c r="V299" s="149"/>
      <c r="W299" s="149"/>
      <c r="X299" s="149"/>
      <c r="Y299" s="149"/>
      <c r="Z299" s="149"/>
      <c r="AA299" s="149"/>
      <c r="AB299" s="149"/>
      <c r="AC299" s="149"/>
      <c r="AD299" s="149"/>
      <c r="AE299" s="149"/>
      <c r="AF299" s="149"/>
      <c r="AG299" s="149"/>
      <c r="AH299" s="149"/>
      <c r="AI299" s="149"/>
    </row>
    <row r="300" spans="1:35" ht="12.75" thickBot="1">
      <c r="A300" s="154" t="s">
        <v>49</v>
      </c>
      <c r="B300" s="155">
        <v>51</v>
      </c>
      <c r="C300" s="255" t="s">
        <v>30</v>
      </c>
      <c r="D300" s="192">
        <v>4241</v>
      </c>
      <c r="E300" s="232" t="s">
        <v>74</v>
      </c>
      <c r="F300" s="156" t="s">
        <v>686</v>
      </c>
      <c r="G300" s="883"/>
      <c r="H300" s="879"/>
      <c r="I300" s="880"/>
      <c r="J300" s="149"/>
      <c r="K300" s="149"/>
      <c r="L300" s="149"/>
      <c r="M300" s="149"/>
      <c r="N300" s="149"/>
      <c r="O300" s="149"/>
      <c r="P300" s="149"/>
      <c r="Q300" s="149"/>
      <c r="R300" s="149"/>
      <c r="S300" s="149"/>
      <c r="T300" s="149"/>
      <c r="U300" s="149"/>
      <c r="V300" s="149"/>
      <c r="W300" s="149"/>
      <c r="X300" s="149"/>
      <c r="Y300" s="149"/>
      <c r="Z300" s="149"/>
      <c r="AA300" s="149"/>
      <c r="AB300" s="149"/>
      <c r="AC300" s="149"/>
      <c r="AD300" s="149"/>
      <c r="AE300" s="149"/>
      <c r="AF300" s="149"/>
      <c r="AG300" s="149"/>
      <c r="AH300" s="149"/>
      <c r="AI300" s="149"/>
    </row>
    <row r="301" spans="1:35" s="166" customFormat="1" ht="12.75" thickBot="1">
      <c r="A301" s="157" t="s">
        <v>49</v>
      </c>
      <c r="B301" s="158">
        <v>51</v>
      </c>
      <c r="C301" s="256" t="s">
        <v>30</v>
      </c>
      <c r="D301" s="158"/>
      <c r="E301" s="229" t="s">
        <v>161</v>
      </c>
      <c r="F301" s="159" t="s">
        <v>686</v>
      </c>
      <c r="G301" s="881">
        <f>G292+G293+G294+G295+G296+G297+G298+G299+G300</f>
        <v>0</v>
      </c>
      <c r="H301" s="881">
        <f t="shared" ref="H301:I301" si="4">H292+H293+H294+H295+H296+H297+H298+H299+H300</f>
        <v>0</v>
      </c>
      <c r="I301" s="881">
        <f t="shared" si="4"/>
        <v>0</v>
      </c>
      <c r="J301" s="165"/>
      <c r="K301" s="165"/>
      <c r="L301" s="165"/>
      <c r="M301" s="165"/>
      <c r="N301" s="165"/>
      <c r="O301" s="165"/>
      <c r="P301" s="165"/>
      <c r="Q301" s="165"/>
      <c r="R301" s="165"/>
      <c r="S301" s="165"/>
      <c r="T301" s="165"/>
      <c r="U301" s="165"/>
      <c r="V301" s="165"/>
      <c r="W301" s="165"/>
      <c r="X301" s="165"/>
      <c r="Y301" s="165"/>
      <c r="Z301" s="165"/>
      <c r="AA301" s="165"/>
      <c r="AB301" s="165"/>
      <c r="AC301" s="165"/>
      <c r="AD301" s="165"/>
      <c r="AE301" s="165"/>
      <c r="AF301" s="165"/>
      <c r="AG301" s="165"/>
      <c r="AH301" s="165"/>
      <c r="AI301" s="165"/>
    </row>
    <row r="302" spans="1:35" ht="24">
      <c r="A302" s="146" t="s">
        <v>49</v>
      </c>
      <c r="B302" s="147">
        <v>51</v>
      </c>
      <c r="C302" s="253" t="s">
        <v>30</v>
      </c>
      <c r="D302" s="147">
        <v>3111</v>
      </c>
      <c r="E302" s="226" t="s">
        <v>50</v>
      </c>
      <c r="F302" s="148" t="s">
        <v>687</v>
      </c>
      <c r="G302" s="883"/>
      <c r="H302" s="879">
        <v>23136.22</v>
      </c>
      <c r="I302" s="880">
        <v>23136</v>
      </c>
      <c r="J302" s="149"/>
      <c r="K302" s="149"/>
      <c r="L302" s="149"/>
      <c r="M302" s="149"/>
      <c r="N302" s="149"/>
      <c r="O302" s="149"/>
      <c r="P302" s="149"/>
      <c r="Q302" s="149"/>
      <c r="R302" s="149"/>
      <c r="S302" s="149"/>
      <c r="T302" s="149"/>
      <c r="U302" s="149"/>
      <c r="V302" s="149"/>
      <c r="W302" s="149"/>
      <c r="X302" s="149"/>
      <c r="Y302" s="149"/>
      <c r="Z302" s="149"/>
      <c r="AA302" s="149"/>
      <c r="AB302" s="149"/>
      <c r="AC302" s="149"/>
      <c r="AD302" s="149"/>
      <c r="AE302" s="149"/>
      <c r="AF302" s="149"/>
      <c r="AG302" s="149"/>
      <c r="AH302" s="149"/>
      <c r="AI302" s="149"/>
    </row>
    <row r="303" spans="1:35" ht="24">
      <c r="A303" s="150" t="s">
        <v>724</v>
      </c>
      <c r="B303" s="151">
        <v>51</v>
      </c>
      <c r="C303" s="254" t="s">
        <v>30</v>
      </c>
      <c r="D303" s="147">
        <v>3112</v>
      </c>
      <c r="E303" s="226" t="s">
        <v>96</v>
      </c>
      <c r="F303" s="153" t="s">
        <v>687</v>
      </c>
      <c r="G303" s="883"/>
      <c r="H303" s="879"/>
      <c r="I303" s="880"/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  <c r="T303" s="149"/>
      <c r="U303" s="149"/>
      <c r="V303" s="149"/>
      <c r="W303" s="149"/>
      <c r="X303" s="149"/>
      <c r="Y303" s="149"/>
      <c r="Z303" s="149"/>
      <c r="AA303" s="149"/>
      <c r="AB303" s="149"/>
      <c r="AC303" s="149"/>
      <c r="AD303" s="149"/>
      <c r="AE303" s="149"/>
      <c r="AF303" s="149"/>
      <c r="AG303" s="149"/>
      <c r="AH303" s="149"/>
      <c r="AI303" s="149"/>
    </row>
    <row r="304" spans="1:35" ht="36">
      <c r="A304" s="150" t="s">
        <v>49</v>
      </c>
      <c r="B304" s="151">
        <v>51</v>
      </c>
      <c r="C304" s="254" t="s">
        <v>30</v>
      </c>
      <c r="D304" s="147">
        <v>3113</v>
      </c>
      <c r="E304" s="226" t="s">
        <v>751</v>
      </c>
      <c r="F304" s="153" t="s">
        <v>687</v>
      </c>
      <c r="G304" s="883"/>
      <c r="H304" s="879"/>
      <c r="I304" s="880"/>
      <c r="J304" s="149"/>
      <c r="K304" s="149"/>
      <c r="L304" s="149"/>
      <c r="M304" s="149"/>
      <c r="N304" s="149"/>
      <c r="O304" s="149"/>
      <c r="P304" s="149"/>
      <c r="Q304" s="149"/>
      <c r="R304" s="149"/>
      <c r="S304" s="149"/>
      <c r="T304" s="149"/>
      <c r="U304" s="149"/>
      <c r="V304" s="149"/>
      <c r="W304" s="149"/>
      <c r="X304" s="149"/>
      <c r="Y304" s="149"/>
      <c r="Z304" s="149"/>
      <c r="AA304" s="149"/>
      <c r="AB304" s="149"/>
      <c r="AC304" s="149"/>
      <c r="AD304" s="149"/>
      <c r="AE304" s="149"/>
      <c r="AF304" s="149"/>
      <c r="AG304" s="149"/>
      <c r="AH304" s="149"/>
      <c r="AI304" s="149"/>
    </row>
    <row r="305" spans="1:35" ht="36">
      <c r="A305" s="150" t="s">
        <v>49</v>
      </c>
      <c r="B305" s="151">
        <v>51</v>
      </c>
      <c r="C305" s="254" t="s">
        <v>30</v>
      </c>
      <c r="D305" s="147">
        <v>3114</v>
      </c>
      <c r="E305" s="226" t="s">
        <v>750</v>
      </c>
      <c r="F305" s="153" t="s">
        <v>687</v>
      </c>
      <c r="G305" s="883"/>
      <c r="H305" s="879"/>
      <c r="I305" s="880"/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  <c r="T305" s="149"/>
      <c r="U305" s="149"/>
      <c r="V305" s="149"/>
      <c r="W305" s="149"/>
      <c r="X305" s="149"/>
      <c r="Y305" s="149"/>
      <c r="Z305" s="149"/>
      <c r="AA305" s="149"/>
      <c r="AB305" s="149"/>
      <c r="AC305" s="149"/>
      <c r="AD305" s="149"/>
      <c r="AE305" s="149"/>
      <c r="AF305" s="149"/>
      <c r="AG305" s="149"/>
      <c r="AH305" s="149"/>
      <c r="AI305" s="149"/>
    </row>
    <row r="306" spans="1:35" ht="36">
      <c r="A306" s="150" t="s">
        <v>49</v>
      </c>
      <c r="B306" s="151">
        <v>51</v>
      </c>
      <c r="C306" s="254" t="s">
        <v>30</v>
      </c>
      <c r="D306" s="151">
        <v>3121</v>
      </c>
      <c r="E306" s="227" t="s">
        <v>51</v>
      </c>
      <c r="F306" s="153" t="s">
        <v>687</v>
      </c>
      <c r="G306" s="883"/>
      <c r="H306" s="879"/>
      <c r="I306" s="880"/>
      <c r="J306" s="149"/>
      <c r="K306" s="149"/>
      <c r="L306" s="149"/>
      <c r="M306" s="149"/>
      <c r="N306" s="149"/>
      <c r="O306" s="149"/>
      <c r="P306" s="149"/>
      <c r="Q306" s="149"/>
      <c r="R306" s="149"/>
      <c r="S306" s="149"/>
      <c r="T306" s="149"/>
      <c r="U306" s="149"/>
      <c r="V306" s="149"/>
      <c r="W306" s="149"/>
      <c r="X306" s="149"/>
      <c r="Y306" s="149"/>
      <c r="Z306" s="149"/>
      <c r="AA306" s="149"/>
      <c r="AB306" s="149"/>
      <c r="AC306" s="149"/>
      <c r="AD306" s="149"/>
      <c r="AE306" s="149"/>
      <c r="AF306" s="149"/>
      <c r="AG306" s="149"/>
      <c r="AH306" s="149"/>
      <c r="AI306" s="149"/>
    </row>
    <row r="307" spans="1:35" ht="36">
      <c r="A307" s="150" t="s">
        <v>49</v>
      </c>
      <c r="B307" s="151">
        <v>51</v>
      </c>
      <c r="C307" s="254" t="s">
        <v>30</v>
      </c>
      <c r="D307" s="151">
        <v>3131</v>
      </c>
      <c r="E307" s="227" t="s">
        <v>752</v>
      </c>
      <c r="F307" s="153" t="s">
        <v>687</v>
      </c>
      <c r="G307" s="883"/>
      <c r="H307" s="879"/>
      <c r="I307" s="880"/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  <c r="T307" s="149"/>
      <c r="U307" s="149"/>
      <c r="V307" s="149"/>
      <c r="W307" s="149"/>
      <c r="X307" s="149"/>
      <c r="Y307" s="149"/>
      <c r="Z307" s="149"/>
      <c r="AA307" s="149"/>
      <c r="AB307" s="149"/>
      <c r="AC307" s="149"/>
      <c r="AD307" s="149"/>
      <c r="AE307" s="149"/>
      <c r="AF307" s="149"/>
      <c r="AG307" s="149"/>
      <c r="AH307" s="149"/>
      <c r="AI307" s="149"/>
    </row>
    <row r="308" spans="1:35" ht="48">
      <c r="A308" s="150" t="s">
        <v>49</v>
      </c>
      <c r="B308" s="151">
        <v>51</v>
      </c>
      <c r="C308" s="254" t="s">
        <v>30</v>
      </c>
      <c r="D308" s="151">
        <v>3132</v>
      </c>
      <c r="E308" s="227" t="s">
        <v>52</v>
      </c>
      <c r="F308" s="153" t="s">
        <v>687</v>
      </c>
      <c r="G308" s="883"/>
      <c r="H308" s="879">
        <v>3817.48</v>
      </c>
      <c r="I308" s="880">
        <v>3817</v>
      </c>
      <c r="J308" s="149"/>
      <c r="K308" s="149"/>
      <c r="L308" s="149"/>
      <c r="M308" s="149"/>
      <c r="N308" s="149"/>
      <c r="O308" s="149"/>
      <c r="P308" s="149"/>
      <c r="Q308" s="149"/>
      <c r="R308" s="149"/>
      <c r="S308" s="149"/>
      <c r="T308" s="149"/>
      <c r="U308" s="149"/>
      <c r="V308" s="149"/>
      <c r="W308" s="149"/>
      <c r="X308" s="149"/>
      <c r="Y308" s="149"/>
      <c r="Z308" s="149"/>
      <c r="AA308" s="149"/>
      <c r="AB308" s="149"/>
      <c r="AC308" s="149"/>
      <c r="AD308" s="149"/>
      <c r="AE308" s="149"/>
      <c r="AF308" s="149"/>
      <c r="AG308" s="149"/>
      <c r="AH308" s="149"/>
      <c r="AI308" s="149"/>
    </row>
    <row r="309" spans="1:35" ht="72">
      <c r="A309" s="150" t="s">
        <v>49</v>
      </c>
      <c r="B309" s="151">
        <v>51</v>
      </c>
      <c r="C309" s="254" t="s">
        <v>30</v>
      </c>
      <c r="D309" s="151">
        <v>3133</v>
      </c>
      <c r="E309" s="227" t="s">
        <v>753</v>
      </c>
      <c r="F309" s="153" t="s">
        <v>687</v>
      </c>
      <c r="G309" s="883"/>
      <c r="H309" s="879"/>
      <c r="I309" s="880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  <c r="T309" s="149"/>
      <c r="U309" s="149"/>
      <c r="V309" s="149"/>
      <c r="W309" s="149"/>
      <c r="X309" s="149"/>
      <c r="Y309" s="149"/>
      <c r="Z309" s="149"/>
      <c r="AA309" s="149"/>
      <c r="AB309" s="149"/>
      <c r="AC309" s="149"/>
      <c r="AD309" s="149"/>
      <c r="AE309" s="149"/>
      <c r="AF309" s="149"/>
      <c r="AG309" s="149"/>
      <c r="AH309" s="149"/>
      <c r="AI309" s="149"/>
    </row>
    <row r="310" spans="1:35" ht="24">
      <c r="A310" s="150" t="s">
        <v>49</v>
      </c>
      <c r="B310" s="151">
        <v>51</v>
      </c>
      <c r="C310" s="254" t="s">
        <v>30</v>
      </c>
      <c r="D310" s="151">
        <v>3211</v>
      </c>
      <c r="E310" s="227" t="s">
        <v>60</v>
      </c>
      <c r="F310" s="153" t="s">
        <v>687</v>
      </c>
      <c r="G310" s="883"/>
      <c r="H310" s="879">
        <f>400+2240+330</f>
        <v>2970</v>
      </c>
      <c r="I310" s="880">
        <v>2970</v>
      </c>
      <c r="J310" s="149"/>
      <c r="K310" s="149"/>
      <c r="L310" s="149"/>
      <c r="M310" s="149"/>
      <c r="N310" s="149"/>
      <c r="O310" s="149"/>
      <c r="P310" s="149"/>
      <c r="Q310" s="149"/>
      <c r="R310" s="149"/>
      <c r="S310" s="149"/>
      <c r="T310" s="149"/>
      <c r="U310" s="149"/>
      <c r="V310" s="149"/>
      <c r="W310" s="149"/>
      <c r="X310" s="149"/>
      <c r="Y310" s="149"/>
      <c r="Z310" s="149"/>
      <c r="AA310" s="149"/>
      <c r="AB310" s="149"/>
      <c r="AC310" s="149"/>
      <c r="AD310" s="149"/>
      <c r="AE310" s="149"/>
      <c r="AF310" s="149"/>
      <c r="AG310" s="149"/>
      <c r="AH310" s="149"/>
      <c r="AI310" s="149"/>
    </row>
    <row r="311" spans="1:35" ht="60">
      <c r="A311" s="150" t="s">
        <v>49</v>
      </c>
      <c r="B311" s="151">
        <v>51</v>
      </c>
      <c r="C311" s="254" t="s">
        <v>30</v>
      </c>
      <c r="D311" s="151">
        <v>3212</v>
      </c>
      <c r="E311" s="227" t="s">
        <v>754</v>
      </c>
      <c r="F311" s="153" t="s">
        <v>687</v>
      </c>
      <c r="G311" s="883"/>
      <c r="H311" s="879"/>
      <c r="I311" s="880"/>
      <c r="J311" s="149"/>
      <c r="K311" s="149"/>
      <c r="L311" s="149"/>
      <c r="M311" s="149"/>
      <c r="N311" s="149"/>
      <c r="O311" s="149"/>
      <c r="P311" s="149"/>
      <c r="Q311" s="149"/>
      <c r="R311" s="149"/>
      <c r="S311" s="149"/>
      <c r="T311" s="149"/>
      <c r="U311" s="149"/>
      <c r="V311" s="149"/>
      <c r="W311" s="149"/>
      <c r="X311" s="149"/>
      <c r="Y311" s="149"/>
      <c r="Z311" s="149"/>
      <c r="AA311" s="149"/>
      <c r="AB311" s="149"/>
      <c r="AC311" s="149"/>
      <c r="AD311" s="149"/>
      <c r="AE311" s="149"/>
      <c r="AF311" s="149"/>
      <c r="AG311" s="149"/>
      <c r="AH311" s="149"/>
      <c r="AI311" s="149"/>
    </row>
    <row r="312" spans="1:35" ht="36">
      <c r="A312" s="150" t="s">
        <v>49</v>
      </c>
      <c r="B312" s="151">
        <v>51</v>
      </c>
      <c r="C312" s="254" t="s">
        <v>30</v>
      </c>
      <c r="D312" s="151">
        <v>3213</v>
      </c>
      <c r="E312" s="227" t="s">
        <v>64</v>
      </c>
      <c r="F312" s="153" t="s">
        <v>687</v>
      </c>
      <c r="G312" s="883"/>
      <c r="H312" s="879"/>
      <c r="I312" s="880"/>
      <c r="J312" s="149"/>
      <c r="K312" s="149"/>
      <c r="L312" s="149"/>
      <c r="M312" s="149"/>
      <c r="N312" s="149"/>
      <c r="O312" s="149"/>
      <c r="P312" s="149"/>
      <c r="Q312" s="149"/>
      <c r="R312" s="149"/>
      <c r="S312" s="149"/>
      <c r="T312" s="149"/>
      <c r="U312" s="149"/>
      <c r="V312" s="149"/>
      <c r="W312" s="149"/>
      <c r="X312" s="149"/>
      <c r="Y312" s="149"/>
      <c r="Z312" s="149"/>
      <c r="AA312" s="149"/>
      <c r="AB312" s="149"/>
      <c r="AC312" s="149"/>
      <c r="AD312" s="149"/>
      <c r="AE312" s="149"/>
      <c r="AF312" s="149"/>
      <c r="AG312" s="149"/>
      <c r="AH312" s="149"/>
      <c r="AI312" s="149"/>
    </row>
    <row r="313" spans="1:35" ht="48">
      <c r="A313" s="150" t="s">
        <v>49</v>
      </c>
      <c r="B313" s="151">
        <v>51</v>
      </c>
      <c r="C313" s="254" t="s">
        <v>30</v>
      </c>
      <c r="D313" s="151">
        <v>3214</v>
      </c>
      <c r="E313" s="227" t="s">
        <v>75</v>
      </c>
      <c r="F313" s="153" t="s">
        <v>687</v>
      </c>
      <c r="G313" s="883"/>
      <c r="H313" s="879"/>
      <c r="I313" s="880"/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  <c r="T313" s="149"/>
      <c r="U313" s="149"/>
      <c r="V313" s="149"/>
      <c r="W313" s="149"/>
      <c r="X313" s="149"/>
      <c r="Y313" s="149"/>
      <c r="Z313" s="149"/>
      <c r="AA313" s="149"/>
      <c r="AB313" s="149"/>
      <c r="AC313" s="149"/>
      <c r="AD313" s="149"/>
      <c r="AE313" s="149"/>
      <c r="AF313" s="149"/>
      <c r="AG313" s="149"/>
      <c r="AH313" s="149"/>
      <c r="AI313" s="149"/>
    </row>
    <row r="314" spans="1:35" ht="60">
      <c r="A314" s="150" t="s">
        <v>49</v>
      </c>
      <c r="B314" s="151">
        <v>51</v>
      </c>
      <c r="C314" s="254" t="s">
        <v>30</v>
      </c>
      <c r="D314" s="151">
        <v>3221</v>
      </c>
      <c r="E314" s="227" t="s">
        <v>65</v>
      </c>
      <c r="F314" s="153" t="s">
        <v>687</v>
      </c>
      <c r="G314" s="883"/>
      <c r="H314" s="879">
        <v>2309</v>
      </c>
      <c r="I314" s="880">
        <v>2309</v>
      </c>
      <c r="J314" s="149"/>
      <c r="K314" s="149"/>
      <c r="L314" s="149"/>
      <c r="M314" s="149"/>
      <c r="N314" s="149"/>
      <c r="O314" s="149"/>
      <c r="P314" s="149"/>
      <c r="Q314" s="149"/>
      <c r="R314" s="149"/>
      <c r="S314" s="149"/>
      <c r="T314" s="149"/>
      <c r="U314" s="149"/>
      <c r="V314" s="149"/>
      <c r="W314" s="149"/>
      <c r="X314" s="149"/>
      <c r="Y314" s="149"/>
      <c r="Z314" s="149"/>
      <c r="AA314" s="149"/>
      <c r="AB314" s="149"/>
      <c r="AC314" s="149"/>
      <c r="AD314" s="149"/>
      <c r="AE314" s="149"/>
      <c r="AF314" s="149"/>
      <c r="AG314" s="149"/>
      <c r="AH314" s="149"/>
      <c r="AI314" s="149"/>
    </row>
    <row r="315" spans="1:35" ht="24">
      <c r="A315" s="150" t="s">
        <v>49</v>
      </c>
      <c r="B315" s="151">
        <v>51</v>
      </c>
      <c r="C315" s="254" t="s">
        <v>30</v>
      </c>
      <c r="D315" s="151">
        <v>3222</v>
      </c>
      <c r="E315" s="227" t="s">
        <v>76</v>
      </c>
      <c r="F315" s="153" t="s">
        <v>687</v>
      </c>
      <c r="G315" s="883"/>
      <c r="H315" s="879"/>
      <c r="I315" s="880"/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  <c r="T315" s="149"/>
      <c r="U315" s="149"/>
      <c r="V315" s="149"/>
      <c r="W315" s="149"/>
      <c r="X315" s="149"/>
      <c r="Y315" s="149"/>
      <c r="Z315" s="149"/>
      <c r="AA315" s="149"/>
      <c r="AB315" s="149"/>
      <c r="AC315" s="149"/>
      <c r="AD315" s="149"/>
      <c r="AE315" s="149"/>
      <c r="AF315" s="149"/>
      <c r="AG315" s="149"/>
      <c r="AH315" s="149"/>
      <c r="AI315" s="149"/>
    </row>
    <row r="316" spans="1:35">
      <c r="A316" s="150" t="s">
        <v>49</v>
      </c>
      <c r="B316" s="151">
        <v>51</v>
      </c>
      <c r="C316" s="254" t="s">
        <v>30</v>
      </c>
      <c r="D316" s="151">
        <v>3223</v>
      </c>
      <c r="E316" s="227" t="s">
        <v>77</v>
      </c>
      <c r="F316" s="153" t="s">
        <v>687</v>
      </c>
      <c r="G316" s="883"/>
      <c r="H316" s="879"/>
      <c r="I316" s="880"/>
      <c r="J316" s="149"/>
      <c r="K316" s="149"/>
      <c r="L316" s="149"/>
      <c r="M316" s="149"/>
      <c r="N316" s="149"/>
      <c r="O316" s="149"/>
      <c r="P316" s="149"/>
      <c r="Q316" s="149"/>
      <c r="R316" s="149"/>
      <c r="S316" s="149"/>
      <c r="T316" s="149"/>
      <c r="U316" s="149"/>
      <c r="V316" s="149"/>
      <c r="W316" s="149"/>
      <c r="X316" s="149"/>
      <c r="Y316" s="149"/>
      <c r="Z316" s="149"/>
      <c r="AA316" s="149"/>
      <c r="AB316" s="149"/>
      <c r="AC316" s="149"/>
      <c r="AD316" s="149"/>
      <c r="AE316" s="149"/>
      <c r="AF316" s="149"/>
      <c r="AG316" s="149"/>
      <c r="AH316" s="149"/>
      <c r="AI316" s="149"/>
    </row>
    <row r="317" spans="1:35" ht="60">
      <c r="A317" s="150" t="s">
        <v>49</v>
      </c>
      <c r="B317" s="151">
        <v>51</v>
      </c>
      <c r="C317" s="254" t="s">
        <v>30</v>
      </c>
      <c r="D317" s="151">
        <v>3224</v>
      </c>
      <c r="E317" s="227" t="s">
        <v>61</v>
      </c>
      <c r="F317" s="153" t="s">
        <v>687</v>
      </c>
      <c r="G317" s="883"/>
      <c r="H317" s="879">
        <v>404.58</v>
      </c>
      <c r="I317" s="880">
        <v>405</v>
      </c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  <c r="T317" s="149"/>
      <c r="U317" s="149"/>
      <c r="V317" s="149"/>
      <c r="W317" s="149"/>
      <c r="X317" s="149"/>
      <c r="Y317" s="149"/>
      <c r="Z317" s="149"/>
      <c r="AA317" s="149"/>
      <c r="AB317" s="149"/>
      <c r="AC317" s="149"/>
      <c r="AD317" s="149"/>
      <c r="AE317" s="149"/>
      <c r="AF317" s="149"/>
      <c r="AG317" s="149"/>
      <c r="AH317" s="149"/>
      <c r="AI317" s="149"/>
    </row>
    <row r="318" spans="1:35" ht="36">
      <c r="A318" s="150" t="s">
        <v>49</v>
      </c>
      <c r="B318" s="151">
        <v>51</v>
      </c>
      <c r="C318" s="254" t="s">
        <v>30</v>
      </c>
      <c r="D318" s="151">
        <v>3225</v>
      </c>
      <c r="E318" s="227" t="s">
        <v>78</v>
      </c>
      <c r="F318" s="153" t="s">
        <v>687</v>
      </c>
      <c r="G318" s="883"/>
      <c r="H318" s="879"/>
      <c r="I318" s="880"/>
      <c r="J318" s="149"/>
      <c r="K318" s="149"/>
      <c r="L318" s="149"/>
      <c r="M318" s="149"/>
      <c r="N318" s="149"/>
      <c r="O318" s="149"/>
      <c r="P318" s="149"/>
      <c r="Q318" s="149"/>
      <c r="R318" s="149"/>
      <c r="S318" s="149"/>
      <c r="T318" s="149"/>
      <c r="U318" s="149"/>
      <c r="V318" s="149"/>
      <c r="W318" s="149"/>
      <c r="X318" s="149"/>
      <c r="Y318" s="149"/>
      <c r="Z318" s="149"/>
      <c r="AA318" s="149"/>
      <c r="AB318" s="149"/>
      <c r="AC318" s="149"/>
      <c r="AD318" s="149"/>
      <c r="AE318" s="149"/>
      <c r="AF318" s="149"/>
      <c r="AG318" s="149"/>
      <c r="AH318" s="149"/>
      <c r="AI318" s="149"/>
    </row>
    <row r="319" spans="1:35" ht="60">
      <c r="A319" s="150" t="s">
        <v>49</v>
      </c>
      <c r="B319" s="151">
        <v>51</v>
      </c>
      <c r="C319" s="254" t="s">
        <v>30</v>
      </c>
      <c r="D319" s="151">
        <v>3227</v>
      </c>
      <c r="E319" s="227" t="s">
        <v>89</v>
      </c>
      <c r="F319" s="153" t="s">
        <v>687</v>
      </c>
      <c r="G319" s="883"/>
      <c r="H319" s="879"/>
      <c r="I319" s="880"/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  <c r="T319" s="149"/>
      <c r="U319" s="149"/>
      <c r="V319" s="149"/>
      <c r="W319" s="149"/>
      <c r="X319" s="149"/>
      <c r="Y319" s="149"/>
      <c r="Z319" s="149"/>
      <c r="AA319" s="149"/>
      <c r="AB319" s="149"/>
      <c r="AC319" s="149"/>
      <c r="AD319" s="149"/>
      <c r="AE319" s="149"/>
      <c r="AF319" s="149"/>
      <c r="AG319" s="149"/>
      <c r="AH319" s="149"/>
      <c r="AI319" s="149"/>
    </row>
    <row r="320" spans="1:35" ht="48">
      <c r="A320" s="150" t="s">
        <v>49</v>
      </c>
      <c r="B320" s="151">
        <v>51</v>
      </c>
      <c r="C320" s="254" t="s">
        <v>30</v>
      </c>
      <c r="D320" s="151">
        <v>3231</v>
      </c>
      <c r="E320" s="227" t="s">
        <v>79</v>
      </c>
      <c r="F320" s="153" t="s">
        <v>687</v>
      </c>
      <c r="G320" s="883"/>
      <c r="H320" s="879"/>
      <c r="I320" s="880"/>
      <c r="J320" s="149"/>
      <c r="K320" s="149"/>
      <c r="L320" s="149"/>
      <c r="M320" s="149"/>
      <c r="N320" s="149"/>
      <c r="O320" s="149"/>
      <c r="P320" s="149"/>
      <c r="Q320" s="149"/>
      <c r="R320" s="149"/>
      <c r="S320" s="149"/>
      <c r="T320" s="149"/>
      <c r="U320" s="149"/>
      <c r="V320" s="149"/>
      <c r="W320" s="149"/>
      <c r="X320" s="149"/>
      <c r="Y320" s="149"/>
      <c r="Z320" s="149"/>
      <c r="AA320" s="149"/>
      <c r="AB320" s="149"/>
      <c r="AC320" s="149"/>
      <c r="AD320" s="149"/>
      <c r="AE320" s="149"/>
      <c r="AF320" s="149"/>
      <c r="AG320" s="149"/>
      <c r="AH320" s="149"/>
      <c r="AI320" s="149"/>
    </row>
    <row r="321" spans="1:35" ht="48">
      <c r="A321" s="150" t="s">
        <v>49</v>
      </c>
      <c r="B321" s="151">
        <v>51</v>
      </c>
      <c r="C321" s="254" t="s">
        <v>30</v>
      </c>
      <c r="D321" s="151">
        <v>3232</v>
      </c>
      <c r="E321" s="227" t="s">
        <v>80</v>
      </c>
      <c r="F321" s="153" t="s">
        <v>687</v>
      </c>
      <c r="G321" s="883"/>
      <c r="H321" s="879">
        <f>4393.75+994.89</f>
        <v>5388.64</v>
      </c>
      <c r="I321" s="880">
        <v>5389</v>
      </c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  <c r="T321" s="149"/>
      <c r="U321" s="149"/>
      <c r="V321" s="149"/>
      <c r="W321" s="149"/>
      <c r="X321" s="149"/>
      <c r="Y321" s="149"/>
      <c r="Z321" s="149"/>
      <c r="AA321" s="149"/>
      <c r="AB321" s="149"/>
      <c r="AC321" s="149"/>
      <c r="AD321" s="149"/>
      <c r="AE321" s="149"/>
      <c r="AF321" s="149"/>
      <c r="AG321" s="149"/>
      <c r="AH321" s="149"/>
      <c r="AI321" s="149"/>
    </row>
    <row r="322" spans="1:35" ht="36">
      <c r="A322" s="150" t="s">
        <v>49</v>
      </c>
      <c r="B322" s="151">
        <v>51</v>
      </c>
      <c r="C322" s="254" t="s">
        <v>30</v>
      </c>
      <c r="D322" s="151">
        <v>3233</v>
      </c>
      <c r="E322" s="227" t="s">
        <v>81</v>
      </c>
      <c r="F322" s="153" t="s">
        <v>687</v>
      </c>
      <c r="G322" s="883"/>
      <c r="H322" s="879">
        <v>24812.5</v>
      </c>
      <c r="I322" s="880">
        <v>24813</v>
      </c>
      <c r="J322" s="149"/>
      <c r="K322" s="149"/>
      <c r="L322" s="149"/>
      <c r="M322" s="149"/>
      <c r="N322" s="149"/>
      <c r="O322" s="149"/>
      <c r="P322" s="149"/>
      <c r="Q322" s="149"/>
      <c r="R322" s="149"/>
      <c r="S322" s="149"/>
      <c r="T322" s="149"/>
      <c r="U322" s="149"/>
      <c r="V322" s="149"/>
      <c r="W322" s="149"/>
      <c r="X322" s="149"/>
      <c r="Y322" s="149"/>
      <c r="Z322" s="149"/>
      <c r="AA322" s="149"/>
      <c r="AB322" s="149"/>
      <c r="AC322" s="149"/>
      <c r="AD322" s="149"/>
      <c r="AE322" s="149"/>
      <c r="AF322" s="149"/>
      <c r="AG322" s="149"/>
      <c r="AH322" s="149"/>
      <c r="AI322" s="149"/>
    </row>
    <row r="323" spans="1:35" ht="24">
      <c r="A323" s="150" t="s">
        <v>49</v>
      </c>
      <c r="B323" s="151">
        <v>51</v>
      </c>
      <c r="C323" s="254" t="s">
        <v>30</v>
      </c>
      <c r="D323" s="151">
        <v>3234</v>
      </c>
      <c r="E323" s="227" t="s">
        <v>87</v>
      </c>
      <c r="F323" s="153" t="s">
        <v>687</v>
      </c>
      <c r="G323" s="883"/>
      <c r="H323" s="879"/>
      <c r="I323" s="880"/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  <c r="T323" s="149"/>
      <c r="U323" s="149"/>
      <c r="V323" s="149"/>
      <c r="W323" s="149"/>
      <c r="X323" s="149"/>
      <c r="Y323" s="149"/>
      <c r="Z323" s="149"/>
      <c r="AA323" s="149"/>
      <c r="AB323" s="149"/>
      <c r="AC323" s="149"/>
      <c r="AD323" s="149"/>
      <c r="AE323" s="149"/>
      <c r="AF323" s="149"/>
      <c r="AG323" s="149"/>
      <c r="AH323" s="149"/>
      <c r="AI323" s="149"/>
    </row>
    <row r="324" spans="1:35" ht="24">
      <c r="A324" s="150" t="s">
        <v>49</v>
      </c>
      <c r="B324" s="151">
        <v>51</v>
      </c>
      <c r="C324" s="254" t="s">
        <v>30</v>
      </c>
      <c r="D324" s="151">
        <v>3235</v>
      </c>
      <c r="E324" s="227" t="s">
        <v>88</v>
      </c>
      <c r="F324" s="153" t="s">
        <v>687</v>
      </c>
      <c r="G324" s="883"/>
      <c r="H324" s="879"/>
      <c r="I324" s="880"/>
      <c r="J324" s="149"/>
      <c r="K324" s="149"/>
      <c r="L324" s="149"/>
      <c r="M324" s="149"/>
      <c r="N324" s="149"/>
      <c r="O324" s="149"/>
      <c r="P324" s="149"/>
      <c r="Q324" s="149"/>
      <c r="R324" s="149"/>
      <c r="S324" s="149"/>
      <c r="T324" s="149"/>
      <c r="U324" s="149"/>
      <c r="V324" s="149"/>
      <c r="W324" s="149"/>
      <c r="X324" s="149"/>
      <c r="Y324" s="149"/>
      <c r="Z324" s="149"/>
      <c r="AA324" s="149"/>
      <c r="AB324" s="149"/>
      <c r="AC324" s="149"/>
      <c r="AD324" s="149"/>
      <c r="AE324" s="149"/>
      <c r="AF324" s="149"/>
      <c r="AG324" s="149"/>
      <c r="AH324" s="149"/>
      <c r="AI324" s="149"/>
    </row>
    <row r="325" spans="1:35" ht="48">
      <c r="A325" s="150" t="s">
        <v>49</v>
      </c>
      <c r="B325" s="151">
        <v>51</v>
      </c>
      <c r="C325" s="254" t="s">
        <v>30</v>
      </c>
      <c r="D325" s="151">
        <v>3236</v>
      </c>
      <c r="E325" s="227" t="s">
        <v>54</v>
      </c>
      <c r="F325" s="153" t="s">
        <v>687</v>
      </c>
      <c r="G325" s="883"/>
      <c r="H325" s="879"/>
      <c r="I325" s="880"/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  <c r="T325" s="149"/>
      <c r="U325" s="149"/>
      <c r="V325" s="149"/>
      <c r="W325" s="149"/>
      <c r="X325" s="149"/>
      <c r="Y325" s="149"/>
      <c r="Z325" s="149"/>
      <c r="AA325" s="149"/>
      <c r="AB325" s="149"/>
      <c r="AC325" s="149"/>
      <c r="AD325" s="149"/>
      <c r="AE325" s="149"/>
      <c r="AF325" s="149"/>
      <c r="AG325" s="149"/>
      <c r="AH325" s="149"/>
      <c r="AI325" s="149"/>
    </row>
    <row r="326" spans="1:35" ht="36">
      <c r="A326" s="150" t="s">
        <v>49</v>
      </c>
      <c r="B326" s="151">
        <v>51</v>
      </c>
      <c r="C326" s="254" t="s">
        <v>30</v>
      </c>
      <c r="D326" s="151">
        <v>3237</v>
      </c>
      <c r="E326" s="227" t="s">
        <v>62</v>
      </c>
      <c r="F326" s="153" t="s">
        <v>687</v>
      </c>
      <c r="G326" s="883"/>
      <c r="H326" s="879"/>
      <c r="I326" s="880"/>
      <c r="J326" s="149"/>
      <c r="K326" s="149"/>
      <c r="L326" s="149"/>
      <c r="M326" s="149"/>
      <c r="N326" s="149"/>
      <c r="O326" s="149"/>
      <c r="P326" s="149"/>
      <c r="Q326" s="149"/>
      <c r="R326" s="149"/>
      <c r="S326" s="149"/>
      <c r="T326" s="149"/>
      <c r="U326" s="149"/>
      <c r="V326" s="149"/>
      <c r="W326" s="149"/>
      <c r="X326" s="149"/>
      <c r="Y326" s="149"/>
      <c r="Z326" s="149"/>
      <c r="AA326" s="149"/>
      <c r="AB326" s="149"/>
      <c r="AC326" s="149"/>
      <c r="AD326" s="149"/>
      <c r="AE326" s="149"/>
      <c r="AF326" s="149"/>
      <c r="AG326" s="149"/>
      <c r="AH326" s="149"/>
      <c r="AI326" s="149"/>
    </row>
    <row r="327" spans="1:35" ht="24">
      <c r="A327" s="150" t="s">
        <v>49</v>
      </c>
      <c r="B327" s="151">
        <v>51</v>
      </c>
      <c r="C327" s="254" t="s">
        <v>30</v>
      </c>
      <c r="D327" s="151">
        <v>3238</v>
      </c>
      <c r="E327" s="227" t="s">
        <v>82</v>
      </c>
      <c r="F327" s="153" t="s">
        <v>687</v>
      </c>
      <c r="G327" s="883"/>
      <c r="H327" s="879"/>
      <c r="I327" s="880"/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  <c r="T327" s="149"/>
      <c r="U327" s="149"/>
      <c r="V327" s="149"/>
      <c r="W327" s="149"/>
      <c r="X327" s="149"/>
      <c r="Y327" s="149"/>
      <c r="Z327" s="149"/>
      <c r="AA327" s="149"/>
      <c r="AB327" s="149"/>
      <c r="AC327" s="149"/>
      <c r="AD327" s="149"/>
      <c r="AE327" s="149"/>
      <c r="AF327" s="149"/>
      <c r="AG327" s="149"/>
      <c r="AH327" s="149"/>
      <c r="AI327" s="149"/>
    </row>
    <row r="328" spans="1:35" ht="24">
      <c r="A328" s="150" t="s">
        <v>49</v>
      </c>
      <c r="B328" s="151">
        <v>51</v>
      </c>
      <c r="C328" s="254" t="s">
        <v>30</v>
      </c>
      <c r="D328" s="151">
        <v>3239</v>
      </c>
      <c r="E328" s="227" t="s">
        <v>66</v>
      </c>
      <c r="F328" s="153" t="s">
        <v>687</v>
      </c>
      <c r="G328" s="883"/>
      <c r="H328" s="879"/>
      <c r="I328" s="880"/>
      <c r="J328" s="149"/>
      <c r="K328" s="149"/>
      <c r="L328" s="149"/>
      <c r="M328" s="149"/>
      <c r="N328" s="149"/>
      <c r="O328" s="149"/>
      <c r="P328" s="149"/>
      <c r="Q328" s="149"/>
      <c r="R328" s="149"/>
      <c r="S328" s="149"/>
      <c r="T328" s="149"/>
      <c r="U328" s="149"/>
      <c r="V328" s="149"/>
      <c r="W328" s="149"/>
      <c r="X328" s="149"/>
      <c r="Y328" s="149"/>
      <c r="Z328" s="149"/>
      <c r="AA328" s="149"/>
      <c r="AB328" s="149"/>
      <c r="AC328" s="149"/>
      <c r="AD328" s="149"/>
      <c r="AE328" s="149"/>
      <c r="AF328" s="149"/>
      <c r="AG328" s="149"/>
      <c r="AH328" s="149"/>
      <c r="AI328" s="149"/>
    </row>
    <row r="329" spans="1:35" ht="60">
      <c r="A329" s="150" t="s">
        <v>49</v>
      </c>
      <c r="B329" s="151">
        <v>51</v>
      </c>
      <c r="C329" s="254" t="s">
        <v>30</v>
      </c>
      <c r="D329" s="151">
        <v>3241</v>
      </c>
      <c r="E329" s="227" t="s">
        <v>67</v>
      </c>
      <c r="F329" s="153" t="s">
        <v>687</v>
      </c>
      <c r="G329" s="883"/>
      <c r="H329" s="879"/>
      <c r="I329" s="880"/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  <c r="T329" s="149"/>
      <c r="U329" s="149"/>
      <c r="V329" s="149"/>
      <c r="W329" s="149"/>
      <c r="X329" s="149"/>
      <c r="Y329" s="149"/>
      <c r="Z329" s="149"/>
      <c r="AA329" s="149"/>
      <c r="AB329" s="149"/>
      <c r="AC329" s="149"/>
      <c r="AD329" s="149"/>
      <c r="AE329" s="149"/>
      <c r="AF329" s="149"/>
      <c r="AG329" s="149"/>
      <c r="AH329" s="149"/>
      <c r="AI329" s="149"/>
    </row>
    <row r="330" spans="1:35" ht="60">
      <c r="A330" s="150" t="s">
        <v>49</v>
      </c>
      <c r="B330" s="151">
        <v>51</v>
      </c>
      <c r="C330" s="254" t="s">
        <v>30</v>
      </c>
      <c r="D330" s="151">
        <v>3291</v>
      </c>
      <c r="E330" s="227" t="s">
        <v>713</v>
      </c>
      <c r="F330" s="153" t="s">
        <v>687</v>
      </c>
      <c r="G330" s="883"/>
      <c r="H330" s="879"/>
      <c r="I330" s="880"/>
      <c r="J330" s="149"/>
      <c r="K330" s="149"/>
      <c r="L330" s="149"/>
      <c r="M330" s="149"/>
      <c r="N330" s="149"/>
      <c r="O330" s="149"/>
      <c r="P330" s="149"/>
      <c r="Q330" s="149"/>
      <c r="R330" s="149"/>
      <c r="S330" s="149"/>
      <c r="T330" s="149"/>
      <c r="U330" s="149"/>
      <c r="V330" s="149"/>
      <c r="W330" s="149"/>
      <c r="X330" s="149"/>
      <c r="Y330" s="149"/>
      <c r="Z330" s="149"/>
      <c r="AA330" s="149"/>
      <c r="AB330" s="149"/>
      <c r="AC330" s="149"/>
      <c r="AD330" s="149"/>
      <c r="AE330" s="149"/>
      <c r="AF330" s="149"/>
      <c r="AG330" s="149"/>
      <c r="AH330" s="149"/>
      <c r="AI330" s="149"/>
    </row>
    <row r="331" spans="1:35" ht="24">
      <c r="A331" s="150" t="s">
        <v>49</v>
      </c>
      <c r="B331" s="151">
        <v>51</v>
      </c>
      <c r="C331" s="254" t="s">
        <v>30</v>
      </c>
      <c r="D331" s="151">
        <v>3292</v>
      </c>
      <c r="E331" s="227" t="s">
        <v>59</v>
      </c>
      <c r="F331" s="153" t="s">
        <v>687</v>
      </c>
      <c r="G331" s="883"/>
      <c r="H331" s="879"/>
      <c r="I331" s="880"/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  <c r="T331" s="149"/>
      <c r="U331" s="149"/>
      <c r="V331" s="149"/>
      <c r="W331" s="149"/>
      <c r="X331" s="149"/>
      <c r="Y331" s="149"/>
      <c r="Z331" s="149"/>
      <c r="AA331" s="149"/>
      <c r="AB331" s="149"/>
      <c r="AC331" s="149"/>
      <c r="AD331" s="149"/>
      <c r="AE331" s="149"/>
      <c r="AF331" s="149"/>
      <c r="AG331" s="149"/>
      <c r="AH331" s="149"/>
      <c r="AI331" s="149"/>
    </row>
    <row r="332" spans="1:35" ht="24">
      <c r="A332" s="150" t="s">
        <v>49</v>
      </c>
      <c r="B332" s="151">
        <v>51</v>
      </c>
      <c r="C332" s="254" t="s">
        <v>30</v>
      </c>
      <c r="D332" s="151">
        <v>3293</v>
      </c>
      <c r="E332" s="227" t="s">
        <v>68</v>
      </c>
      <c r="F332" s="153" t="s">
        <v>687</v>
      </c>
      <c r="G332" s="883"/>
      <c r="H332" s="879"/>
      <c r="I332" s="880"/>
      <c r="J332" s="149"/>
      <c r="K332" s="149"/>
      <c r="L332" s="149"/>
      <c r="M332" s="149"/>
      <c r="N332" s="149"/>
      <c r="O332" s="149"/>
      <c r="P332" s="149"/>
      <c r="Q332" s="149"/>
      <c r="R332" s="149"/>
      <c r="S332" s="149"/>
      <c r="T332" s="149"/>
      <c r="U332" s="149"/>
      <c r="V332" s="149"/>
      <c r="W332" s="149"/>
      <c r="X332" s="149"/>
      <c r="Y332" s="149"/>
      <c r="Z332" s="149"/>
      <c r="AA332" s="149"/>
      <c r="AB332" s="149"/>
      <c r="AC332" s="149"/>
      <c r="AD332" s="149"/>
      <c r="AE332" s="149"/>
      <c r="AF332" s="149"/>
      <c r="AG332" s="149"/>
      <c r="AH332" s="149"/>
      <c r="AI332" s="149"/>
    </row>
    <row r="333" spans="1:35" ht="24">
      <c r="A333" s="150" t="s">
        <v>49</v>
      </c>
      <c r="B333" s="151">
        <v>51</v>
      </c>
      <c r="C333" s="254" t="s">
        <v>30</v>
      </c>
      <c r="D333" s="151">
        <v>3294</v>
      </c>
      <c r="E333" s="227" t="s">
        <v>69</v>
      </c>
      <c r="F333" s="153" t="s">
        <v>687</v>
      </c>
      <c r="G333" s="883"/>
      <c r="H333" s="879"/>
      <c r="I333" s="880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  <c r="T333" s="149"/>
      <c r="U333" s="149"/>
      <c r="V333" s="149"/>
      <c r="W333" s="149"/>
      <c r="X333" s="149"/>
      <c r="Y333" s="149"/>
      <c r="Z333" s="149"/>
      <c r="AA333" s="149"/>
      <c r="AB333" s="149"/>
      <c r="AC333" s="149"/>
      <c r="AD333" s="149"/>
      <c r="AE333" s="149"/>
      <c r="AF333" s="149"/>
      <c r="AG333" s="149"/>
      <c r="AH333" s="149"/>
      <c r="AI333" s="149"/>
    </row>
    <row r="334" spans="1:35" ht="24">
      <c r="A334" s="150" t="s">
        <v>49</v>
      </c>
      <c r="B334" s="151">
        <v>51</v>
      </c>
      <c r="C334" s="254" t="s">
        <v>30</v>
      </c>
      <c r="D334" s="151">
        <v>3295</v>
      </c>
      <c r="E334" s="227" t="s">
        <v>55</v>
      </c>
      <c r="F334" s="153" t="s">
        <v>687</v>
      </c>
      <c r="G334" s="883"/>
      <c r="H334" s="879"/>
      <c r="I334" s="880"/>
      <c r="J334" s="149"/>
      <c r="K334" s="149"/>
      <c r="L334" s="149"/>
      <c r="M334" s="149"/>
      <c r="N334" s="149"/>
      <c r="O334" s="149"/>
      <c r="P334" s="149"/>
      <c r="Q334" s="149"/>
      <c r="R334" s="149"/>
      <c r="S334" s="149"/>
      <c r="T334" s="149"/>
      <c r="U334" s="149"/>
      <c r="V334" s="149"/>
      <c r="W334" s="149"/>
      <c r="X334" s="149"/>
      <c r="Y334" s="149"/>
      <c r="Z334" s="149"/>
      <c r="AA334" s="149"/>
      <c r="AB334" s="149"/>
      <c r="AC334" s="149"/>
      <c r="AD334" s="149"/>
      <c r="AE334" s="149"/>
      <c r="AF334" s="149"/>
      <c r="AG334" s="149"/>
      <c r="AH334" s="149"/>
      <c r="AI334" s="149"/>
    </row>
    <row r="335" spans="1:35" ht="36">
      <c r="A335" s="150" t="s">
        <v>49</v>
      </c>
      <c r="B335" s="151">
        <v>51</v>
      </c>
      <c r="C335" s="254" t="s">
        <v>30</v>
      </c>
      <c r="D335" s="151">
        <v>3296</v>
      </c>
      <c r="E335" s="227" t="s">
        <v>97</v>
      </c>
      <c r="F335" s="153" t="s">
        <v>687</v>
      </c>
      <c r="G335" s="883"/>
      <c r="H335" s="879"/>
      <c r="I335" s="880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  <c r="T335" s="149"/>
      <c r="U335" s="149"/>
      <c r="V335" s="149"/>
      <c r="W335" s="149"/>
      <c r="X335" s="149"/>
      <c r="Y335" s="149"/>
      <c r="Z335" s="149"/>
      <c r="AA335" s="149"/>
      <c r="AB335" s="149"/>
      <c r="AC335" s="149"/>
      <c r="AD335" s="149"/>
      <c r="AE335" s="149"/>
      <c r="AF335" s="149"/>
      <c r="AG335" s="149"/>
      <c r="AH335" s="149"/>
      <c r="AI335" s="149"/>
    </row>
    <row r="336" spans="1:35" ht="48">
      <c r="A336" s="150" t="s">
        <v>49</v>
      </c>
      <c r="B336" s="151">
        <v>51</v>
      </c>
      <c r="C336" s="254" t="s">
        <v>30</v>
      </c>
      <c r="D336" s="151">
        <v>3299</v>
      </c>
      <c r="E336" s="227" t="s">
        <v>57</v>
      </c>
      <c r="F336" s="153" t="s">
        <v>687</v>
      </c>
      <c r="G336" s="883"/>
      <c r="H336" s="879"/>
      <c r="I336" s="880"/>
      <c r="J336" s="149"/>
      <c r="K336" s="149"/>
      <c r="L336" s="149"/>
      <c r="M336" s="149"/>
      <c r="N336" s="149"/>
      <c r="O336" s="149"/>
      <c r="P336" s="149"/>
      <c r="Q336" s="149"/>
      <c r="R336" s="149"/>
      <c r="S336" s="149"/>
      <c r="T336" s="149"/>
      <c r="U336" s="149"/>
      <c r="V336" s="149"/>
      <c r="W336" s="149"/>
      <c r="X336" s="149"/>
      <c r="Y336" s="149"/>
      <c r="Z336" s="149"/>
      <c r="AA336" s="149"/>
      <c r="AB336" s="149"/>
      <c r="AC336" s="149"/>
      <c r="AD336" s="149"/>
      <c r="AE336" s="149"/>
      <c r="AF336" s="149"/>
      <c r="AG336" s="149"/>
      <c r="AH336" s="149"/>
      <c r="AI336" s="149"/>
    </row>
    <row r="337" spans="1:35" ht="60">
      <c r="A337" s="150" t="s">
        <v>49</v>
      </c>
      <c r="B337" s="151">
        <v>51</v>
      </c>
      <c r="C337" s="254" t="s">
        <v>30</v>
      </c>
      <c r="D337" s="151">
        <v>3431</v>
      </c>
      <c r="E337" s="227" t="s">
        <v>70</v>
      </c>
      <c r="F337" s="153" t="s">
        <v>687</v>
      </c>
      <c r="G337" s="883"/>
      <c r="H337" s="879"/>
      <c r="I337" s="880"/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  <c r="T337" s="149"/>
      <c r="U337" s="149"/>
      <c r="V337" s="149"/>
      <c r="W337" s="149"/>
      <c r="X337" s="149"/>
      <c r="Y337" s="149"/>
      <c r="Z337" s="149"/>
      <c r="AA337" s="149"/>
      <c r="AB337" s="149"/>
      <c r="AC337" s="149"/>
      <c r="AD337" s="149"/>
      <c r="AE337" s="149"/>
      <c r="AF337" s="149"/>
      <c r="AG337" s="149"/>
      <c r="AH337" s="149"/>
      <c r="AI337" s="149"/>
    </row>
    <row r="338" spans="1:35" ht="72">
      <c r="A338" s="150" t="s">
        <v>49</v>
      </c>
      <c r="B338" s="151">
        <v>51</v>
      </c>
      <c r="C338" s="254" t="s">
        <v>30</v>
      </c>
      <c r="D338" s="151">
        <v>3432</v>
      </c>
      <c r="E338" s="227" t="s">
        <v>71</v>
      </c>
      <c r="F338" s="153" t="s">
        <v>687</v>
      </c>
      <c r="G338" s="883"/>
      <c r="H338" s="879"/>
      <c r="I338" s="880"/>
      <c r="J338" s="149"/>
      <c r="K338" s="149"/>
      <c r="L338" s="149"/>
      <c r="M338" s="149"/>
      <c r="N338" s="149"/>
      <c r="O338" s="149"/>
      <c r="P338" s="149"/>
      <c r="Q338" s="149"/>
      <c r="R338" s="149"/>
      <c r="S338" s="149"/>
      <c r="T338" s="149"/>
      <c r="U338" s="149"/>
      <c r="V338" s="149"/>
      <c r="W338" s="149"/>
      <c r="X338" s="149"/>
      <c r="Y338" s="149"/>
      <c r="Z338" s="149"/>
      <c r="AA338" s="149"/>
      <c r="AB338" s="149"/>
      <c r="AC338" s="149"/>
      <c r="AD338" s="149"/>
      <c r="AE338" s="149"/>
      <c r="AF338" s="149"/>
      <c r="AG338" s="149"/>
      <c r="AH338" s="149"/>
      <c r="AI338" s="149"/>
    </row>
    <row r="339" spans="1:35" ht="48">
      <c r="A339" s="150" t="s">
        <v>49</v>
      </c>
      <c r="B339" s="151">
        <v>51</v>
      </c>
      <c r="C339" s="254" t="s">
        <v>30</v>
      </c>
      <c r="D339" s="151">
        <v>3433</v>
      </c>
      <c r="E339" s="227" t="s">
        <v>725</v>
      </c>
      <c r="F339" s="153" t="s">
        <v>687</v>
      </c>
      <c r="G339" s="883"/>
      <c r="H339" s="879"/>
      <c r="I339" s="880"/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49"/>
      <c r="U339" s="149"/>
      <c r="V339" s="149"/>
      <c r="W339" s="149"/>
      <c r="X339" s="149"/>
      <c r="Y339" s="149"/>
      <c r="Z339" s="149"/>
      <c r="AA339" s="149"/>
      <c r="AB339" s="149"/>
      <c r="AC339" s="149"/>
      <c r="AD339" s="149"/>
      <c r="AE339" s="149"/>
      <c r="AF339" s="149"/>
      <c r="AG339" s="149"/>
      <c r="AH339" s="149"/>
      <c r="AI339" s="149"/>
    </row>
    <row r="340" spans="1:35" ht="48">
      <c r="A340" s="150" t="s">
        <v>49</v>
      </c>
      <c r="B340" s="151">
        <v>51</v>
      </c>
      <c r="C340" s="254" t="s">
        <v>30</v>
      </c>
      <c r="D340" s="151">
        <v>3434</v>
      </c>
      <c r="E340" s="227" t="s">
        <v>94</v>
      </c>
      <c r="F340" s="153" t="s">
        <v>687</v>
      </c>
      <c r="G340" s="883"/>
      <c r="H340" s="879"/>
      <c r="I340" s="880"/>
      <c r="J340" s="149"/>
      <c r="K340" s="149"/>
      <c r="L340" s="149"/>
      <c r="M340" s="149"/>
      <c r="N340" s="149"/>
      <c r="O340" s="149"/>
      <c r="P340" s="149"/>
      <c r="Q340" s="149"/>
      <c r="R340" s="149"/>
      <c r="S340" s="149"/>
      <c r="T340" s="149"/>
      <c r="U340" s="149"/>
      <c r="V340" s="149"/>
      <c r="W340" s="149"/>
      <c r="X340" s="149"/>
      <c r="Y340" s="149"/>
      <c r="Z340" s="149"/>
      <c r="AA340" s="149"/>
      <c r="AB340" s="149"/>
      <c r="AC340" s="149"/>
      <c r="AD340" s="149"/>
      <c r="AE340" s="149"/>
      <c r="AF340" s="149"/>
      <c r="AG340" s="149"/>
      <c r="AH340" s="149"/>
      <c r="AI340" s="149"/>
    </row>
    <row r="341" spans="1:35" ht="36">
      <c r="A341" s="150" t="s">
        <v>49</v>
      </c>
      <c r="B341" s="151">
        <v>51</v>
      </c>
      <c r="C341" s="254" t="s">
        <v>30</v>
      </c>
      <c r="D341" s="151">
        <v>3522</v>
      </c>
      <c r="E341" s="227" t="s">
        <v>755</v>
      </c>
      <c r="F341" s="153" t="s">
        <v>687</v>
      </c>
      <c r="G341" s="883"/>
      <c r="H341" s="879"/>
      <c r="I341" s="880"/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49"/>
      <c r="U341" s="149"/>
      <c r="V341" s="149"/>
      <c r="W341" s="149"/>
      <c r="X341" s="149"/>
      <c r="Y341" s="149"/>
      <c r="Z341" s="149"/>
      <c r="AA341" s="149"/>
      <c r="AB341" s="149"/>
      <c r="AC341" s="149"/>
      <c r="AD341" s="149"/>
      <c r="AE341" s="149"/>
      <c r="AF341" s="149"/>
      <c r="AG341" s="149"/>
      <c r="AH341" s="149"/>
      <c r="AI341" s="149"/>
    </row>
    <row r="342" spans="1:35" ht="84">
      <c r="A342" s="150" t="s">
        <v>49</v>
      </c>
      <c r="B342" s="151">
        <v>51</v>
      </c>
      <c r="C342" s="254" t="s">
        <v>30</v>
      </c>
      <c r="D342" s="151">
        <v>3691</v>
      </c>
      <c r="E342" s="227" t="s">
        <v>36</v>
      </c>
      <c r="F342" s="153" t="s">
        <v>687</v>
      </c>
      <c r="G342" s="883"/>
      <c r="H342" s="879"/>
      <c r="I342" s="880"/>
      <c r="J342" s="149"/>
      <c r="K342" s="149"/>
      <c r="L342" s="149"/>
      <c r="M342" s="149"/>
      <c r="N342" s="149"/>
      <c r="O342" s="149"/>
      <c r="P342" s="149"/>
      <c r="Q342" s="149"/>
      <c r="R342" s="149"/>
      <c r="S342" s="149"/>
      <c r="T342" s="149"/>
      <c r="U342" s="149"/>
      <c r="V342" s="149"/>
      <c r="W342" s="149"/>
      <c r="X342" s="149"/>
      <c r="Y342" s="149"/>
      <c r="Z342" s="149"/>
      <c r="AA342" s="149"/>
      <c r="AB342" s="149"/>
      <c r="AC342" s="149"/>
      <c r="AD342" s="149"/>
      <c r="AE342" s="149"/>
      <c r="AF342" s="149"/>
      <c r="AG342" s="149"/>
      <c r="AH342" s="149"/>
      <c r="AI342" s="149"/>
    </row>
    <row r="343" spans="1:35" ht="84">
      <c r="A343" s="150" t="s">
        <v>49</v>
      </c>
      <c r="B343" s="151">
        <v>51</v>
      </c>
      <c r="C343" s="254" t="s">
        <v>30</v>
      </c>
      <c r="D343" s="151">
        <v>3692</v>
      </c>
      <c r="E343" s="227" t="s">
        <v>695</v>
      </c>
      <c r="F343" s="153" t="s">
        <v>687</v>
      </c>
      <c r="G343" s="883"/>
      <c r="H343" s="879"/>
      <c r="I343" s="880"/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49"/>
      <c r="U343" s="149"/>
      <c r="V343" s="149"/>
      <c r="W343" s="149"/>
      <c r="X343" s="149"/>
      <c r="Y343" s="149"/>
      <c r="Z343" s="149"/>
      <c r="AA343" s="149"/>
      <c r="AB343" s="149"/>
      <c r="AC343" s="149"/>
      <c r="AD343" s="149"/>
      <c r="AE343" s="149"/>
      <c r="AF343" s="149"/>
      <c r="AG343" s="149"/>
      <c r="AH343" s="149"/>
      <c r="AI343" s="149"/>
    </row>
    <row r="344" spans="1:35" ht="120">
      <c r="A344" s="856" t="s">
        <v>49</v>
      </c>
      <c r="B344" s="854">
        <v>51</v>
      </c>
      <c r="C344" s="857" t="s">
        <v>30</v>
      </c>
      <c r="D344" s="854">
        <v>3693</v>
      </c>
      <c r="E344" s="855" t="s">
        <v>37</v>
      </c>
      <c r="F344" s="863" t="s">
        <v>687</v>
      </c>
      <c r="G344" s="883"/>
      <c r="H344" s="879"/>
      <c r="I344" s="880"/>
      <c r="J344" s="149"/>
      <c r="K344" s="149"/>
      <c r="L344" s="149"/>
      <c r="M344" s="149"/>
      <c r="N344" s="149"/>
      <c r="O344" s="149"/>
      <c r="P344" s="149"/>
      <c r="Q344" s="149"/>
      <c r="R344" s="149"/>
      <c r="S344" s="149"/>
      <c r="T344" s="149"/>
      <c r="U344" s="149"/>
      <c r="V344" s="149"/>
      <c r="W344" s="149"/>
      <c r="X344" s="149"/>
      <c r="Y344" s="149"/>
      <c r="Z344" s="149"/>
      <c r="AA344" s="149"/>
      <c r="AB344" s="149"/>
      <c r="AC344" s="149"/>
      <c r="AD344" s="149"/>
      <c r="AE344" s="149"/>
      <c r="AF344" s="149"/>
      <c r="AG344" s="149"/>
      <c r="AH344" s="149"/>
      <c r="AI344" s="149"/>
    </row>
    <row r="345" spans="1:35" ht="48">
      <c r="A345" s="150" t="s">
        <v>49</v>
      </c>
      <c r="B345" s="151">
        <v>51</v>
      </c>
      <c r="C345" s="254" t="s">
        <v>30</v>
      </c>
      <c r="D345" s="151">
        <v>3721</v>
      </c>
      <c r="E345" s="227" t="s">
        <v>84</v>
      </c>
      <c r="F345" s="153" t="s">
        <v>687</v>
      </c>
      <c r="G345" s="883"/>
      <c r="H345" s="879"/>
      <c r="I345" s="880"/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49"/>
      <c r="U345" s="149"/>
      <c r="V345" s="149"/>
      <c r="W345" s="149"/>
      <c r="X345" s="149"/>
      <c r="Y345" s="149"/>
      <c r="Z345" s="149"/>
      <c r="AA345" s="149"/>
      <c r="AB345" s="149"/>
      <c r="AC345" s="149"/>
      <c r="AD345" s="149"/>
      <c r="AE345" s="149"/>
      <c r="AF345" s="149"/>
      <c r="AG345" s="149"/>
      <c r="AH345" s="149"/>
      <c r="AI345" s="149"/>
    </row>
    <row r="346" spans="1:35" ht="36">
      <c r="A346" s="150" t="s">
        <v>49</v>
      </c>
      <c r="B346" s="151">
        <v>51</v>
      </c>
      <c r="C346" s="254" t="s">
        <v>30</v>
      </c>
      <c r="D346" s="151">
        <v>3811</v>
      </c>
      <c r="E346" s="227" t="s">
        <v>56</v>
      </c>
      <c r="F346" s="153" t="s">
        <v>687</v>
      </c>
      <c r="G346" s="883"/>
      <c r="H346" s="879"/>
      <c r="I346" s="880"/>
      <c r="J346" s="149"/>
      <c r="K346" s="149"/>
      <c r="L346" s="149"/>
      <c r="M346" s="149"/>
      <c r="N346" s="149"/>
      <c r="O346" s="149"/>
      <c r="P346" s="149"/>
      <c r="Q346" s="149"/>
      <c r="R346" s="149"/>
      <c r="S346" s="149"/>
      <c r="T346" s="149"/>
      <c r="U346" s="149"/>
      <c r="V346" s="149"/>
      <c r="W346" s="149"/>
      <c r="X346" s="149"/>
      <c r="Y346" s="149"/>
      <c r="Z346" s="149"/>
      <c r="AA346" s="149"/>
      <c r="AB346" s="149"/>
      <c r="AC346" s="149"/>
      <c r="AD346" s="149"/>
      <c r="AE346" s="149"/>
      <c r="AF346" s="149"/>
      <c r="AG346" s="149"/>
      <c r="AH346" s="149"/>
      <c r="AI346" s="149"/>
    </row>
    <row r="347" spans="1:35" ht="48">
      <c r="A347" s="150" t="s">
        <v>49</v>
      </c>
      <c r="B347" s="151">
        <v>51</v>
      </c>
      <c r="C347" s="254" t="s">
        <v>30</v>
      </c>
      <c r="D347" s="151">
        <v>383</v>
      </c>
      <c r="E347" s="227" t="s">
        <v>756</v>
      </c>
      <c r="F347" s="153" t="s">
        <v>687</v>
      </c>
      <c r="G347" s="883"/>
      <c r="H347" s="879"/>
      <c r="I347" s="880"/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49"/>
      <c r="U347" s="149"/>
      <c r="V347" s="149"/>
      <c r="W347" s="149"/>
      <c r="X347" s="149"/>
      <c r="Y347" s="149"/>
      <c r="Z347" s="149"/>
      <c r="AA347" s="149"/>
      <c r="AB347" s="149"/>
      <c r="AC347" s="149"/>
      <c r="AD347" s="149"/>
      <c r="AE347" s="149"/>
      <c r="AF347" s="149"/>
      <c r="AG347" s="149"/>
      <c r="AH347" s="149"/>
      <c r="AI347" s="149"/>
    </row>
    <row r="348" spans="1:35">
      <c r="A348" s="150" t="s">
        <v>49</v>
      </c>
      <c r="B348" s="151">
        <v>51</v>
      </c>
      <c r="C348" s="254" t="s">
        <v>30</v>
      </c>
      <c r="D348" s="151">
        <v>4123</v>
      </c>
      <c r="E348" s="227" t="s">
        <v>92</v>
      </c>
      <c r="F348" s="153" t="s">
        <v>687</v>
      </c>
      <c r="G348" s="883"/>
      <c r="H348" s="879"/>
      <c r="I348" s="880"/>
      <c r="J348" s="149"/>
      <c r="K348" s="149"/>
      <c r="L348" s="149"/>
      <c r="M348" s="149"/>
      <c r="N348" s="149"/>
      <c r="O348" s="149"/>
      <c r="P348" s="149"/>
      <c r="Q348" s="149"/>
      <c r="R348" s="149"/>
      <c r="S348" s="149"/>
      <c r="T348" s="149"/>
      <c r="U348" s="149"/>
      <c r="V348" s="149"/>
      <c r="W348" s="149"/>
      <c r="X348" s="149"/>
      <c r="Y348" s="149"/>
      <c r="Z348" s="149"/>
      <c r="AA348" s="149"/>
      <c r="AB348" s="149"/>
      <c r="AC348" s="149"/>
      <c r="AD348" s="149"/>
      <c r="AE348" s="149"/>
      <c r="AF348" s="149"/>
      <c r="AG348" s="149"/>
      <c r="AH348" s="149"/>
      <c r="AI348" s="149"/>
    </row>
    <row r="349" spans="1:35" ht="60">
      <c r="A349" s="150" t="s">
        <v>49</v>
      </c>
      <c r="B349" s="151">
        <v>51</v>
      </c>
      <c r="C349" s="254" t="s">
        <v>30</v>
      </c>
      <c r="D349" s="151">
        <v>4124</v>
      </c>
      <c r="E349" s="227" t="s">
        <v>721</v>
      </c>
      <c r="F349" s="153" t="s">
        <v>687</v>
      </c>
      <c r="G349" s="883"/>
      <c r="H349" s="879"/>
      <c r="I349" s="880"/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49"/>
      <c r="U349" s="149"/>
      <c r="V349" s="149"/>
      <c r="W349" s="149"/>
      <c r="X349" s="149"/>
      <c r="Y349" s="149"/>
      <c r="Z349" s="149"/>
      <c r="AA349" s="149"/>
      <c r="AB349" s="149"/>
      <c r="AC349" s="149"/>
      <c r="AD349" s="149"/>
      <c r="AE349" s="149"/>
      <c r="AF349" s="149"/>
      <c r="AG349" s="149"/>
      <c r="AH349" s="149"/>
      <c r="AI349" s="149"/>
    </row>
    <row r="350" spans="1:35" ht="36">
      <c r="A350" s="150" t="s">
        <v>49</v>
      </c>
      <c r="B350" s="151">
        <v>51</v>
      </c>
      <c r="C350" s="254" t="s">
        <v>30</v>
      </c>
      <c r="D350" s="151">
        <v>4126</v>
      </c>
      <c r="E350" s="227" t="s">
        <v>757</v>
      </c>
      <c r="F350" s="153" t="s">
        <v>687</v>
      </c>
      <c r="G350" s="883"/>
      <c r="H350" s="879"/>
      <c r="I350" s="880"/>
      <c r="J350" s="149"/>
      <c r="K350" s="149"/>
      <c r="L350" s="149"/>
      <c r="M350" s="149"/>
      <c r="N350" s="149"/>
      <c r="O350" s="149"/>
      <c r="P350" s="149"/>
      <c r="Q350" s="149"/>
      <c r="R350" s="149"/>
      <c r="S350" s="149"/>
      <c r="T350" s="149"/>
      <c r="U350" s="149"/>
      <c r="V350" s="149"/>
      <c r="W350" s="149"/>
      <c r="X350" s="149"/>
      <c r="Y350" s="149"/>
      <c r="Z350" s="149"/>
      <c r="AA350" s="149"/>
      <c r="AB350" s="149"/>
      <c r="AC350" s="149"/>
      <c r="AD350" s="149"/>
      <c r="AE350" s="149"/>
      <c r="AF350" s="149"/>
      <c r="AG350" s="149"/>
      <c r="AH350" s="149"/>
      <c r="AI350" s="149"/>
    </row>
    <row r="351" spans="1:35" ht="24">
      <c r="A351" s="150" t="s">
        <v>49</v>
      </c>
      <c r="B351" s="151">
        <v>51</v>
      </c>
      <c r="C351" s="254" t="s">
        <v>30</v>
      </c>
      <c r="D351" s="151">
        <v>4212</v>
      </c>
      <c r="E351" s="227" t="s">
        <v>58</v>
      </c>
      <c r="F351" s="153" t="s">
        <v>687</v>
      </c>
      <c r="G351" s="883"/>
      <c r="H351" s="879"/>
      <c r="I351" s="880"/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49"/>
      <c r="U351" s="149"/>
      <c r="V351" s="149"/>
      <c r="W351" s="149"/>
      <c r="X351" s="149"/>
      <c r="Y351" s="149"/>
      <c r="Z351" s="149"/>
      <c r="AA351" s="149"/>
      <c r="AB351" s="149"/>
      <c r="AC351" s="149"/>
      <c r="AD351" s="149"/>
      <c r="AE351" s="149"/>
      <c r="AF351" s="149"/>
      <c r="AG351" s="149"/>
      <c r="AH351" s="149"/>
      <c r="AI351" s="149"/>
    </row>
    <row r="352" spans="1:35" ht="60">
      <c r="A352" s="150" t="s">
        <v>49</v>
      </c>
      <c r="B352" s="151">
        <v>51</v>
      </c>
      <c r="C352" s="254" t="s">
        <v>30</v>
      </c>
      <c r="D352" s="151">
        <v>4213</v>
      </c>
      <c r="E352" s="227" t="s">
        <v>758</v>
      </c>
      <c r="F352" s="153" t="s">
        <v>687</v>
      </c>
      <c r="G352" s="883"/>
      <c r="H352" s="879"/>
      <c r="I352" s="880"/>
      <c r="J352" s="149"/>
      <c r="K352" s="149"/>
      <c r="L352" s="149"/>
      <c r="M352" s="149"/>
      <c r="N352" s="149"/>
      <c r="O352" s="149"/>
      <c r="P352" s="149"/>
      <c r="Q352" s="149"/>
      <c r="R352" s="149"/>
      <c r="S352" s="149"/>
      <c r="T352" s="149"/>
      <c r="U352" s="149"/>
      <c r="V352" s="149"/>
      <c r="W352" s="149"/>
      <c r="X352" s="149"/>
      <c r="Y352" s="149"/>
      <c r="Z352" s="149"/>
      <c r="AA352" s="149"/>
      <c r="AB352" s="149"/>
      <c r="AC352" s="149"/>
      <c r="AD352" s="149"/>
      <c r="AE352" s="149"/>
      <c r="AF352" s="149"/>
      <c r="AG352" s="149"/>
      <c r="AH352" s="149"/>
      <c r="AI352" s="149"/>
    </row>
    <row r="353" spans="1:35" ht="36">
      <c r="A353" s="150" t="s">
        <v>49</v>
      </c>
      <c r="B353" s="151">
        <v>51</v>
      </c>
      <c r="C353" s="254" t="s">
        <v>30</v>
      </c>
      <c r="D353" s="151">
        <v>4214</v>
      </c>
      <c r="E353" s="227" t="s">
        <v>719</v>
      </c>
      <c r="F353" s="153" t="s">
        <v>687</v>
      </c>
      <c r="G353" s="883"/>
      <c r="H353" s="879"/>
      <c r="I353" s="880"/>
      <c r="J353" s="149"/>
      <c r="K353" s="149"/>
      <c r="L353" s="149"/>
      <c r="M353" s="149"/>
      <c r="N353" s="149"/>
      <c r="O353" s="149"/>
      <c r="P353" s="149"/>
      <c r="Q353" s="149"/>
      <c r="R353" s="149"/>
      <c r="S353" s="149"/>
      <c r="T353" s="149"/>
      <c r="U353" s="149"/>
      <c r="V353" s="149"/>
      <c r="W353" s="149"/>
      <c r="X353" s="149"/>
      <c r="Y353" s="149"/>
      <c r="Z353" s="149"/>
      <c r="AA353" s="149"/>
      <c r="AB353" s="149"/>
      <c r="AC353" s="149"/>
      <c r="AD353" s="149"/>
      <c r="AE353" s="149"/>
      <c r="AF353" s="149"/>
      <c r="AG353" s="149"/>
      <c r="AH353" s="149"/>
      <c r="AI353" s="149"/>
    </row>
    <row r="354" spans="1:35" s="166" customFormat="1" ht="36">
      <c r="A354" s="150" t="s">
        <v>49</v>
      </c>
      <c r="B354" s="151">
        <v>51</v>
      </c>
      <c r="C354" s="254" t="s">
        <v>30</v>
      </c>
      <c r="D354" s="151">
        <v>4221</v>
      </c>
      <c r="E354" s="227" t="s">
        <v>63</v>
      </c>
      <c r="F354" s="153" t="s">
        <v>687</v>
      </c>
      <c r="G354" s="883"/>
      <c r="H354" s="879"/>
      <c r="I354" s="880"/>
      <c r="J354" s="149"/>
      <c r="K354" s="165"/>
      <c r="L354" s="165"/>
      <c r="M354" s="165"/>
      <c r="N354" s="165"/>
      <c r="O354" s="165"/>
      <c r="P354" s="165"/>
      <c r="Q354" s="165"/>
      <c r="R354" s="165"/>
      <c r="S354" s="165"/>
      <c r="T354" s="165"/>
      <c r="U354" s="165"/>
      <c r="V354" s="165"/>
      <c r="W354" s="165"/>
      <c r="X354" s="165"/>
      <c r="Y354" s="165"/>
      <c r="Z354" s="165"/>
      <c r="AA354" s="165"/>
      <c r="AB354" s="165"/>
      <c r="AC354" s="165"/>
      <c r="AD354" s="165"/>
      <c r="AE354" s="165"/>
      <c r="AF354" s="165"/>
      <c r="AG354" s="165"/>
      <c r="AH354" s="165"/>
      <c r="AI354" s="165"/>
    </row>
    <row r="355" spans="1:35" s="166" customFormat="1" ht="24">
      <c r="A355" s="150" t="s">
        <v>49</v>
      </c>
      <c r="B355" s="151">
        <v>51</v>
      </c>
      <c r="C355" s="254" t="s">
        <v>30</v>
      </c>
      <c r="D355" s="151">
        <v>4222</v>
      </c>
      <c r="E355" s="227" t="s">
        <v>72</v>
      </c>
      <c r="F355" s="153" t="s">
        <v>687</v>
      </c>
      <c r="G355" s="883"/>
      <c r="H355" s="879"/>
      <c r="I355" s="880"/>
      <c r="J355" s="149"/>
      <c r="K355" s="165"/>
      <c r="L355" s="165"/>
      <c r="M355" s="165"/>
      <c r="N355" s="165"/>
      <c r="O355" s="165"/>
      <c r="P355" s="165"/>
      <c r="Q355" s="165"/>
      <c r="R355" s="165"/>
      <c r="S355" s="165"/>
      <c r="T355" s="165"/>
      <c r="U355" s="165"/>
      <c r="V355" s="165"/>
      <c r="W355" s="165"/>
      <c r="X355" s="165"/>
      <c r="Y355" s="165"/>
      <c r="Z355" s="165"/>
      <c r="AA355" s="165"/>
      <c r="AB355" s="165"/>
      <c r="AC355" s="165"/>
      <c r="AD355" s="165"/>
      <c r="AE355" s="165"/>
      <c r="AF355" s="165"/>
      <c r="AG355" s="165"/>
      <c r="AH355" s="165"/>
      <c r="AI355" s="165"/>
    </row>
    <row r="356" spans="1:35" ht="36">
      <c r="A356" s="150" t="s">
        <v>49</v>
      </c>
      <c r="B356" s="151">
        <v>51</v>
      </c>
      <c r="C356" s="254" t="s">
        <v>30</v>
      </c>
      <c r="D356" s="151">
        <v>4223</v>
      </c>
      <c r="E356" s="227" t="s">
        <v>90</v>
      </c>
      <c r="F356" s="153" t="s">
        <v>687</v>
      </c>
      <c r="G356" s="883"/>
      <c r="H356" s="879"/>
      <c r="I356" s="880"/>
      <c r="J356" s="149"/>
      <c r="K356" s="149"/>
      <c r="L356" s="149"/>
      <c r="M356" s="149"/>
      <c r="N356" s="149"/>
      <c r="O356" s="149"/>
      <c r="P356" s="149"/>
      <c r="Q356" s="149"/>
      <c r="R356" s="149"/>
      <c r="S356" s="149"/>
      <c r="T356" s="149"/>
      <c r="U356" s="149"/>
      <c r="V356" s="149"/>
      <c r="W356" s="149"/>
      <c r="X356" s="149"/>
      <c r="Y356" s="149"/>
      <c r="Z356" s="149"/>
      <c r="AA356" s="149"/>
      <c r="AB356" s="149"/>
      <c r="AC356" s="149"/>
      <c r="AD356" s="149"/>
      <c r="AE356" s="149"/>
      <c r="AF356" s="149"/>
      <c r="AG356" s="149"/>
      <c r="AH356" s="149"/>
      <c r="AI356" s="149"/>
    </row>
    <row r="357" spans="1:35" ht="36">
      <c r="A357" s="150" t="s">
        <v>49</v>
      </c>
      <c r="B357" s="151">
        <v>51</v>
      </c>
      <c r="C357" s="254" t="s">
        <v>30</v>
      </c>
      <c r="D357" s="151">
        <v>4224</v>
      </c>
      <c r="E357" s="227" t="s">
        <v>73</v>
      </c>
      <c r="F357" s="153" t="s">
        <v>687</v>
      </c>
      <c r="G357" s="883"/>
      <c r="H357" s="879"/>
      <c r="I357" s="880"/>
      <c r="J357" s="149"/>
      <c r="K357" s="149"/>
      <c r="L357" s="149"/>
      <c r="M357" s="149"/>
      <c r="N357" s="149"/>
      <c r="O357" s="149"/>
      <c r="P357" s="149"/>
      <c r="Q357" s="149"/>
      <c r="R357" s="149"/>
      <c r="S357" s="149"/>
      <c r="T357" s="149"/>
      <c r="U357" s="149"/>
      <c r="V357" s="149"/>
      <c r="W357" s="149"/>
      <c r="X357" s="149"/>
      <c r="Y357" s="149"/>
      <c r="Z357" s="149"/>
      <c r="AA357" s="149"/>
      <c r="AB357" s="149"/>
      <c r="AC357" s="149"/>
      <c r="AD357" s="149"/>
      <c r="AE357" s="149"/>
      <c r="AF357" s="149"/>
      <c r="AG357" s="149"/>
      <c r="AH357" s="149"/>
      <c r="AI357" s="149"/>
    </row>
    <row r="358" spans="1:35" ht="36">
      <c r="A358" s="150" t="s">
        <v>49</v>
      </c>
      <c r="B358" s="151">
        <v>51</v>
      </c>
      <c r="C358" s="254" t="s">
        <v>30</v>
      </c>
      <c r="D358" s="151">
        <v>4225</v>
      </c>
      <c r="E358" s="227" t="s">
        <v>85</v>
      </c>
      <c r="F358" s="153" t="s">
        <v>687</v>
      </c>
      <c r="G358" s="883"/>
      <c r="H358" s="879"/>
      <c r="I358" s="880"/>
      <c r="J358" s="149"/>
      <c r="K358" s="149"/>
      <c r="L358" s="149"/>
      <c r="M358" s="149"/>
      <c r="N358" s="149"/>
      <c r="O358" s="149"/>
      <c r="P358" s="149"/>
      <c r="Q358" s="149"/>
      <c r="R358" s="149"/>
      <c r="S358" s="149"/>
      <c r="T358" s="149"/>
      <c r="U358" s="149"/>
      <c r="V358" s="149"/>
      <c r="W358" s="149"/>
      <c r="X358" s="149"/>
      <c r="Y358" s="149"/>
      <c r="Z358" s="149"/>
      <c r="AA358" s="149"/>
      <c r="AB358" s="149"/>
      <c r="AC358" s="149"/>
      <c r="AD358" s="149"/>
      <c r="AE358" s="149"/>
      <c r="AF358" s="149"/>
      <c r="AG358" s="149"/>
      <c r="AH358" s="149"/>
      <c r="AI358" s="149"/>
    </row>
    <row r="359" spans="1:35" ht="24">
      <c r="A359" s="150" t="s">
        <v>49</v>
      </c>
      <c r="B359" s="151">
        <v>51</v>
      </c>
      <c r="C359" s="254" t="s">
        <v>30</v>
      </c>
      <c r="D359" s="151">
        <v>4226</v>
      </c>
      <c r="E359" s="227" t="s">
        <v>716</v>
      </c>
      <c r="F359" s="153" t="s">
        <v>687</v>
      </c>
      <c r="G359" s="883"/>
      <c r="H359" s="879"/>
      <c r="I359" s="880"/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  <c r="T359" s="149"/>
      <c r="U359" s="149"/>
      <c r="V359" s="149"/>
      <c r="W359" s="149"/>
      <c r="X359" s="149"/>
      <c r="Y359" s="149"/>
      <c r="Z359" s="149"/>
      <c r="AA359" s="149"/>
      <c r="AB359" s="149"/>
      <c r="AC359" s="149"/>
      <c r="AD359" s="149"/>
      <c r="AE359" s="149"/>
      <c r="AF359" s="149"/>
      <c r="AG359" s="149"/>
      <c r="AH359" s="149"/>
      <c r="AI359" s="149"/>
    </row>
    <row r="360" spans="1:35" ht="60">
      <c r="A360" s="150" t="s">
        <v>49</v>
      </c>
      <c r="B360" s="151">
        <v>51</v>
      </c>
      <c r="C360" s="254" t="s">
        <v>30</v>
      </c>
      <c r="D360" s="151">
        <v>4227</v>
      </c>
      <c r="E360" s="227" t="s">
        <v>93</v>
      </c>
      <c r="F360" s="153" t="s">
        <v>687</v>
      </c>
      <c r="G360" s="883"/>
      <c r="H360" s="879"/>
      <c r="I360" s="880"/>
      <c r="J360" s="149"/>
      <c r="K360" s="149"/>
      <c r="L360" s="149"/>
      <c r="M360" s="149"/>
      <c r="N360" s="149"/>
      <c r="O360" s="149"/>
      <c r="P360" s="149"/>
      <c r="Q360" s="149"/>
      <c r="R360" s="149"/>
      <c r="S360" s="149"/>
      <c r="T360" s="149"/>
      <c r="U360" s="149"/>
      <c r="V360" s="149"/>
      <c r="W360" s="149"/>
      <c r="X360" s="149"/>
      <c r="Y360" s="149"/>
      <c r="Z360" s="149"/>
      <c r="AA360" s="149"/>
      <c r="AB360" s="149"/>
      <c r="AC360" s="149"/>
      <c r="AD360" s="149"/>
      <c r="AE360" s="149"/>
      <c r="AF360" s="149"/>
      <c r="AG360" s="149"/>
      <c r="AH360" s="149"/>
      <c r="AI360" s="149"/>
    </row>
    <row r="361" spans="1:35" ht="48">
      <c r="A361" s="150" t="s">
        <v>49</v>
      </c>
      <c r="B361" s="151">
        <v>51</v>
      </c>
      <c r="C361" s="254" t="s">
        <v>30</v>
      </c>
      <c r="D361" s="151">
        <v>4231</v>
      </c>
      <c r="E361" s="227" t="s">
        <v>98</v>
      </c>
      <c r="F361" s="153" t="s">
        <v>687</v>
      </c>
      <c r="G361" s="883"/>
      <c r="H361" s="879"/>
      <c r="I361" s="880"/>
      <c r="J361" s="149"/>
      <c r="K361" s="149"/>
      <c r="L361" s="149"/>
      <c r="M361" s="149"/>
      <c r="N361" s="149"/>
      <c r="O361" s="149"/>
      <c r="P361" s="149"/>
      <c r="Q361" s="149"/>
      <c r="R361" s="149"/>
      <c r="S361" s="149"/>
      <c r="T361" s="149"/>
      <c r="U361" s="149"/>
      <c r="V361" s="149"/>
      <c r="W361" s="149"/>
      <c r="X361" s="149"/>
      <c r="Y361" s="149"/>
      <c r="Z361" s="149"/>
      <c r="AA361" s="149"/>
      <c r="AB361" s="149"/>
      <c r="AC361" s="149"/>
      <c r="AD361" s="149"/>
      <c r="AE361" s="149"/>
      <c r="AF361" s="149"/>
      <c r="AG361" s="149"/>
      <c r="AH361" s="149"/>
      <c r="AI361" s="149"/>
    </row>
    <row r="362" spans="1:35" ht="60">
      <c r="A362" s="150" t="s">
        <v>49</v>
      </c>
      <c r="B362" s="151">
        <v>51</v>
      </c>
      <c r="C362" s="254" t="s">
        <v>30</v>
      </c>
      <c r="D362" s="151">
        <v>4233</v>
      </c>
      <c r="E362" s="227" t="s">
        <v>759</v>
      </c>
      <c r="F362" s="153" t="s">
        <v>687</v>
      </c>
      <c r="G362" s="883"/>
      <c r="H362" s="879"/>
      <c r="I362" s="880"/>
      <c r="J362" s="149"/>
      <c r="K362" s="149"/>
      <c r="L362" s="149"/>
      <c r="M362" s="149"/>
      <c r="N362" s="149"/>
      <c r="O362" s="149"/>
      <c r="P362" s="149"/>
      <c r="Q362" s="149"/>
      <c r="R362" s="149"/>
      <c r="S362" s="149"/>
      <c r="T362" s="149"/>
      <c r="U362" s="149"/>
      <c r="V362" s="149"/>
      <c r="W362" s="149"/>
      <c r="X362" s="149"/>
      <c r="Y362" s="149"/>
      <c r="Z362" s="149"/>
      <c r="AA362" s="149"/>
      <c r="AB362" s="149"/>
      <c r="AC362" s="149"/>
      <c r="AD362" s="149"/>
      <c r="AE362" s="149"/>
      <c r="AF362" s="149"/>
      <c r="AG362" s="149"/>
      <c r="AH362" s="149"/>
      <c r="AI362" s="149"/>
    </row>
    <row r="363" spans="1:35">
      <c r="A363" s="150" t="s">
        <v>49</v>
      </c>
      <c r="B363" s="151">
        <v>51</v>
      </c>
      <c r="C363" s="254" t="s">
        <v>30</v>
      </c>
      <c r="D363" s="151">
        <v>4241</v>
      </c>
      <c r="E363" s="227" t="s">
        <v>74</v>
      </c>
      <c r="F363" s="153" t="s">
        <v>687</v>
      </c>
      <c r="G363" s="883"/>
      <c r="H363" s="879"/>
      <c r="I363" s="880"/>
      <c r="J363" s="149"/>
      <c r="K363" s="149"/>
      <c r="L363" s="149"/>
      <c r="M363" s="149"/>
      <c r="N363" s="149"/>
      <c r="O363" s="149"/>
      <c r="P363" s="149"/>
      <c r="Q363" s="149"/>
      <c r="R363" s="149"/>
      <c r="S363" s="149"/>
      <c r="T363" s="149"/>
      <c r="U363" s="149"/>
      <c r="V363" s="149"/>
      <c r="W363" s="149"/>
      <c r="X363" s="149"/>
      <c r="Y363" s="149"/>
      <c r="Z363" s="149"/>
      <c r="AA363" s="149"/>
      <c r="AB363" s="149"/>
      <c r="AC363" s="149"/>
      <c r="AD363" s="149"/>
      <c r="AE363" s="149"/>
      <c r="AF363" s="149"/>
      <c r="AG363" s="149"/>
      <c r="AH363" s="149"/>
      <c r="AI363" s="149"/>
    </row>
    <row r="364" spans="1:35" ht="48">
      <c r="A364" s="150" t="s">
        <v>49</v>
      </c>
      <c r="B364" s="151">
        <v>51</v>
      </c>
      <c r="C364" s="254" t="s">
        <v>30</v>
      </c>
      <c r="D364" s="151">
        <v>4244</v>
      </c>
      <c r="E364" s="227" t="s">
        <v>760</v>
      </c>
      <c r="F364" s="153" t="s">
        <v>687</v>
      </c>
      <c r="G364" s="883"/>
      <c r="H364" s="879"/>
      <c r="I364" s="880"/>
      <c r="J364" s="149"/>
      <c r="K364" s="149"/>
      <c r="L364" s="149"/>
      <c r="M364" s="149"/>
      <c r="N364" s="149"/>
      <c r="O364" s="149"/>
      <c r="P364" s="149"/>
      <c r="Q364" s="149"/>
      <c r="R364" s="149"/>
      <c r="S364" s="149"/>
      <c r="T364" s="149"/>
      <c r="U364" s="149"/>
      <c r="V364" s="149"/>
      <c r="W364" s="149"/>
      <c r="X364" s="149"/>
      <c r="Y364" s="149"/>
      <c r="Z364" s="149"/>
      <c r="AA364" s="149"/>
      <c r="AB364" s="149"/>
      <c r="AC364" s="149"/>
      <c r="AD364" s="149"/>
      <c r="AE364" s="149"/>
      <c r="AF364" s="149"/>
      <c r="AG364" s="149"/>
      <c r="AH364" s="149"/>
      <c r="AI364" s="149"/>
    </row>
    <row r="365" spans="1:35" ht="36">
      <c r="A365" s="150" t="s">
        <v>49</v>
      </c>
      <c r="B365" s="151">
        <v>51</v>
      </c>
      <c r="C365" s="254" t="s">
        <v>30</v>
      </c>
      <c r="D365" s="151">
        <v>4262</v>
      </c>
      <c r="E365" s="227" t="s">
        <v>86</v>
      </c>
      <c r="F365" s="153" t="s">
        <v>687</v>
      </c>
      <c r="G365" s="883"/>
      <c r="H365" s="879"/>
      <c r="I365" s="880"/>
      <c r="J365" s="149"/>
      <c r="K365" s="149"/>
      <c r="L365" s="149"/>
      <c r="M365" s="149"/>
      <c r="N365" s="149"/>
      <c r="O365" s="149"/>
      <c r="P365" s="149"/>
      <c r="Q365" s="149"/>
      <c r="R365" s="149"/>
      <c r="S365" s="149"/>
      <c r="T365" s="149"/>
      <c r="U365" s="149"/>
      <c r="V365" s="149"/>
      <c r="W365" s="149"/>
      <c r="X365" s="149"/>
      <c r="Y365" s="149"/>
      <c r="Z365" s="149"/>
      <c r="AA365" s="149"/>
      <c r="AB365" s="149"/>
      <c r="AC365" s="149"/>
      <c r="AD365" s="149"/>
      <c r="AE365" s="149"/>
      <c r="AF365" s="149"/>
      <c r="AG365" s="149"/>
      <c r="AH365" s="149"/>
      <c r="AI365" s="149"/>
    </row>
    <row r="366" spans="1:35" ht="60">
      <c r="A366" s="150" t="s">
        <v>49</v>
      </c>
      <c r="B366" s="151">
        <v>51</v>
      </c>
      <c r="C366" s="254" t="s">
        <v>30</v>
      </c>
      <c r="D366" s="151">
        <v>4264</v>
      </c>
      <c r="E366" s="227" t="s">
        <v>761</v>
      </c>
      <c r="F366" s="153" t="s">
        <v>687</v>
      </c>
      <c r="G366" s="883"/>
      <c r="H366" s="879"/>
      <c r="I366" s="880"/>
      <c r="J366" s="149"/>
      <c r="K366" s="149"/>
      <c r="L366" s="149"/>
      <c r="M366" s="149"/>
      <c r="N366" s="149"/>
      <c r="O366" s="149"/>
      <c r="P366" s="149"/>
      <c r="Q366" s="149"/>
      <c r="R366" s="149"/>
      <c r="S366" s="149"/>
      <c r="T366" s="149"/>
      <c r="U366" s="149"/>
      <c r="V366" s="149"/>
      <c r="W366" s="149"/>
      <c r="X366" s="149"/>
      <c r="Y366" s="149"/>
      <c r="Z366" s="149"/>
      <c r="AA366" s="149"/>
      <c r="AB366" s="149"/>
      <c r="AC366" s="149"/>
      <c r="AD366" s="149"/>
      <c r="AE366" s="149"/>
      <c r="AF366" s="149"/>
      <c r="AG366" s="149"/>
      <c r="AH366" s="149"/>
      <c r="AI366" s="149"/>
    </row>
    <row r="367" spans="1:35" ht="60">
      <c r="A367" s="150" t="s">
        <v>49</v>
      </c>
      <c r="B367" s="151">
        <v>51</v>
      </c>
      <c r="C367" s="254" t="s">
        <v>30</v>
      </c>
      <c r="D367" s="151">
        <v>4312</v>
      </c>
      <c r="E367" s="227" t="s">
        <v>684</v>
      </c>
      <c r="F367" s="153" t="s">
        <v>687</v>
      </c>
      <c r="G367" s="883"/>
      <c r="H367" s="879"/>
      <c r="I367" s="880"/>
      <c r="J367" s="149"/>
      <c r="K367" s="149"/>
      <c r="L367" s="149"/>
      <c r="M367" s="149"/>
      <c r="N367" s="149"/>
      <c r="O367" s="149"/>
      <c r="P367" s="149"/>
      <c r="Q367" s="149"/>
      <c r="R367" s="149"/>
      <c r="S367" s="149"/>
      <c r="T367" s="149"/>
      <c r="U367" s="149"/>
      <c r="V367" s="149"/>
      <c r="W367" s="149"/>
      <c r="X367" s="149"/>
      <c r="Y367" s="149"/>
      <c r="Z367" s="149"/>
      <c r="AA367" s="149"/>
      <c r="AB367" s="149"/>
      <c r="AC367" s="149"/>
      <c r="AD367" s="149"/>
      <c r="AE367" s="149"/>
      <c r="AF367" s="149"/>
      <c r="AG367" s="149"/>
      <c r="AH367" s="149"/>
      <c r="AI367" s="149"/>
    </row>
    <row r="368" spans="1:35" ht="48">
      <c r="A368" s="150" t="s">
        <v>49</v>
      </c>
      <c r="B368" s="151">
        <v>51</v>
      </c>
      <c r="C368" s="254" t="s">
        <v>30</v>
      </c>
      <c r="D368" s="155">
        <v>4511</v>
      </c>
      <c r="E368" s="228" t="s">
        <v>91</v>
      </c>
      <c r="F368" s="153" t="s">
        <v>687</v>
      </c>
      <c r="G368" s="883"/>
      <c r="H368" s="879"/>
      <c r="I368" s="880"/>
      <c r="J368" s="149"/>
      <c r="K368" s="149"/>
      <c r="L368" s="149"/>
      <c r="M368" s="149"/>
      <c r="N368" s="149"/>
      <c r="O368" s="149"/>
      <c r="P368" s="149"/>
      <c r="Q368" s="149"/>
      <c r="R368" s="149"/>
      <c r="S368" s="149"/>
      <c r="T368" s="149"/>
      <c r="U368" s="149"/>
      <c r="V368" s="149"/>
      <c r="W368" s="149"/>
      <c r="X368" s="149"/>
      <c r="Y368" s="149"/>
      <c r="Z368" s="149"/>
      <c r="AA368" s="149"/>
      <c r="AB368" s="149"/>
      <c r="AC368" s="149"/>
      <c r="AD368" s="149"/>
      <c r="AE368" s="149"/>
      <c r="AF368" s="149"/>
      <c r="AG368" s="149"/>
      <c r="AH368" s="149"/>
      <c r="AI368" s="149"/>
    </row>
    <row r="369" spans="1:35" ht="48.75" thickBot="1">
      <c r="A369" s="154" t="s">
        <v>49</v>
      </c>
      <c r="B369" s="155">
        <v>51</v>
      </c>
      <c r="C369" s="255" t="s">
        <v>30</v>
      </c>
      <c r="D369" s="155">
        <v>4521</v>
      </c>
      <c r="E369" s="228" t="s">
        <v>95</v>
      </c>
      <c r="F369" s="156" t="s">
        <v>687</v>
      </c>
      <c r="G369" s="883"/>
      <c r="H369" s="879"/>
      <c r="I369" s="880"/>
      <c r="J369" s="149"/>
      <c r="K369" s="149"/>
      <c r="L369" s="149"/>
      <c r="M369" s="149"/>
      <c r="N369" s="149"/>
      <c r="O369" s="149"/>
      <c r="P369" s="149"/>
      <c r="Q369" s="149"/>
      <c r="R369" s="149"/>
      <c r="S369" s="149"/>
      <c r="T369" s="149"/>
      <c r="U369" s="149"/>
      <c r="V369" s="149"/>
      <c r="W369" s="149"/>
      <c r="X369" s="149"/>
      <c r="Y369" s="149"/>
      <c r="Z369" s="149"/>
      <c r="AA369" s="149"/>
      <c r="AB369" s="149"/>
      <c r="AC369" s="149"/>
      <c r="AD369" s="149"/>
      <c r="AE369" s="149"/>
      <c r="AF369" s="149"/>
      <c r="AG369" s="149"/>
      <c r="AH369" s="149"/>
      <c r="AI369" s="149"/>
    </row>
    <row r="370" spans="1:35" ht="12.75" thickBot="1">
      <c r="A370" s="167" t="s">
        <v>49</v>
      </c>
      <c r="B370" s="168">
        <v>51</v>
      </c>
      <c r="C370" s="257" t="s">
        <v>30</v>
      </c>
      <c r="D370" s="168"/>
      <c r="E370" s="231" t="s">
        <v>161</v>
      </c>
      <c r="F370" s="169" t="s">
        <v>687</v>
      </c>
      <c r="G370" s="885">
        <f>SUM(G302:G369)</f>
        <v>0</v>
      </c>
      <c r="H370" s="885">
        <f t="shared" ref="H370:I370" si="5">SUM(H302:H369)</f>
        <v>62838.420000000006</v>
      </c>
      <c r="I370" s="888">
        <f t="shared" si="5"/>
        <v>62839</v>
      </c>
      <c r="J370" s="149"/>
      <c r="K370" s="149"/>
      <c r="L370" s="149"/>
      <c r="M370" s="149"/>
      <c r="N370" s="149"/>
      <c r="O370" s="149"/>
      <c r="P370" s="149"/>
      <c r="Q370" s="149"/>
      <c r="R370" s="149"/>
      <c r="S370" s="149"/>
      <c r="T370" s="149"/>
      <c r="U370" s="149"/>
      <c r="V370" s="149"/>
      <c r="W370" s="149"/>
      <c r="X370" s="149"/>
      <c r="Y370" s="149"/>
      <c r="Z370" s="149"/>
      <c r="AA370" s="149"/>
      <c r="AB370" s="149"/>
      <c r="AC370" s="149"/>
      <c r="AD370" s="149"/>
      <c r="AE370" s="149"/>
      <c r="AF370" s="149"/>
      <c r="AG370" s="149"/>
      <c r="AH370" s="149"/>
      <c r="AI370" s="149"/>
    </row>
    <row r="371" spans="1:35" ht="12.75" thickBot="1">
      <c r="A371" s="162" t="s">
        <v>49</v>
      </c>
      <c r="B371" s="163">
        <v>51</v>
      </c>
      <c r="C371" s="243" t="s">
        <v>30</v>
      </c>
      <c r="D371" s="163"/>
      <c r="E371" s="230" t="s">
        <v>735</v>
      </c>
      <c r="F371" s="164"/>
      <c r="G371" s="878">
        <f>G301+G370</f>
        <v>0</v>
      </c>
      <c r="H371" s="878">
        <f t="shared" ref="H371:I371" si="6">H301+H370</f>
        <v>62838.420000000006</v>
      </c>
      <c r="I371" s="878">
        <f t="shared" si="6"/>
        <v>62839</v>
      </c>
      <c r="J371" s="149"/>
      <c r="K371" s="149"/>
      <c r="L371" s="149"/>
      <c r="M371" s="149"/>
      <c r="N371" s="149"/>
      <c r="O371" s="149"/>
      <c r="P371" s="149"/>
      <c r="Q371" s="149"/>
      <c r="R371" s="149"/>
      <c r="S371" s="149"/>
      <c r="T371" s="149"/>
      <c r="U371" s="149"/>
      <c r="V371" s="149"/>
      <c r="W371" s="149"/>
      <c r="X371" s="149"/>
      <c r="Y371" s="149"/>
      <c r="Z371" s="149"/>
      <c r="AA371" s="149"/>
      <c r="AB371" s="149"/>
      <c r="AC371" s="149"/>
      <c r="AD371" s="149"/>
      <c r="AE371" s="149"/>
      <c r="AF371" s="149"/>
      <c r="AG371" s="149"/>
      <c r="AH371" s="149"/>
      <c r="AI371" s="149"/>
    </row>
    <row r="372" spans="1:35" ht="24">
      <c r="A372" s="146" t="s">
        <v>49</v>
      </c>
      <c r="B372" s="147">
        <v>52</v>
      </c>
      <c r="C372" s="253" t="s">
        <v>32</v>
      </c>
      <c r="D372" s="147">
        <v>3111</v>
      </c>
      <c r="E372" s="226" t="s">
        <v>50</v>
      </c>
      <c r="F372" s="148" t="s">
        <v>687</v>
      </c>
      <c r="G372" s="613">
        <f>9712+237800</f>
        <v>247512</v>
      </c>
      <c r="H372" s="879">
        <v>366217.32</v>
      </c>
      <c r="I372" s="880">
        <v>400000</v>
      </c>
      <c r="J372" s="374"/>
      <c r="K372" s="149"/>
      <c r="L372" s="149"/>
      <c r="M372" s="149"/>
      <c r="N372" s="149"/>
      <c r="O372" s="149"/>
      <c r="P372" s="149"/>
      <c r="Q372" s="149"/>
      <c r="R372" s="149"/>
      <c r="S372" s="149"/>
      <c r="T372" s="149"/>
      <c r="U372" s="149"/>
      <c r="V372" s="149"/>
      <c r="W372" s="149"/>
      <c r="X372" s="149"/>
      <c r="Y372" s="149"/>
      <c r="Z372" s="149"/>
      <c r="AA372" s="149"/>
      <c r="AB372" s="149"/>
      <c r="AC372" s="149"/>
      <c r="AD372" s="149"/>
      <c r="AE372" s="149"/>
      <c r="AF372" s="149"/>
      <c r="AG372" s="149"/>
      <c r="AH372" s="149"/>
      <c r="AI372" s="149"/>
    </row>
    <row r="373" spans="1:35" ht="24">
      <c r="A373" s="146" t="s">
        <v>49</v>
      </c>
      <c r="B373" s="147">
        <v>52</v>
      </c>
      <c r="C373" s="253" t="s">
        <v>32</v>
      </c>
      <c r="D373" s="147">
        <v>3112</v>
      </c>
      <c r="E373" s="226" t="s">
        <v>96</v>
      </c>
      <c r="F373" s="153" t="s">
        <v>687</v>
      </c>
      <c r="G373" s="613"/>
      <c r="H373" s="879"/>
      <c r="I373" s="880"/>
      <c r="J373" s="149"/>
      <c r="K373" s="149"/>
      <c r="L373" s="149"/>
      <c r="M373" s="149"/>
      <c r="N373" s="149"/>
      <c r="O373" s="149"/>
      <c r="P373" s="149"/>
      <c r="Q373" s="149"/>
      <c r="R373" s="149"/>
      <c r="S373" s="149"/>
      <c r="T373" s="149"/>
      <c r="U373" s="149"/>
      <c r="V373" s="149"/>
      <c r="W373" s="149"/>
      <c r="X373" s="149"/>
      <c r="Y373" s="149"/>
      <c r="Z373" s="149"/>
      <c r="AA373" s="149"/>
      <c r="AB373" s="149"/>
      <c r="AC373" s="149"/>
      <c r="AD373" s="149"/>
      <c r="AE373" s="149"/>
      <c r="AF373" s="149"/>
      <c r="AG373" s="149"/>
      <c r="AH373" s="149"/>
      <c r="AI373" s="149"/>
    </row>
    <row r="374" spans="1:35" ht="36">
      <c r="A374" s="146" t="s">
        <v>49</v>
      </c>
      <c r="B374" s="147">
        <v>52</v>
      </c>
      <c r="C374" s="253" t="s">
        <v>32</v>
      </c>
      <c r="D374" s="147">
        <v>3113</v>
      </c>
      <c r="E374" s="226" t="s">
        <v>751</v>
      </c>
      <c r="F374" s="153" t="s">
        <v>687</v>
      </c>
      <c r="G374" s="618"/>
      <c r="H374" s="879">
        <v>84893.77</v>
      </c>
      <c r="I374" s="880">
        <v>200000</v>
      </c>
      <c r="J374" s="149"/>
      <c r="K374" s="149"/>
      <c r="L374" s="149"/>
      <c r="M374" s="149"/>
      <c r="N374" s="149"/>
      <c r="O374" s="149"/>
      <c r="P374" s="149"/>
      <c r="Q374" s="149"/>
      <c r="R374" s="149"/>
      <c r="S374" s="149"/>
      <c r="T374" s="149"/>
      <c r="U374" s="149"/>
      <c r="V374" s="149"/>
      <c r="W374" s="149"/>
      <c r="X374" s="149"/>
      <c r="Y374" s="149"/>
      <c r="Z374" s="149"/>
      <c r="AA374" s="149"/>
      <c r="AB374" s="149"/>
      <c r="AC374" s="149"/>
      <c r="AD374" s="149"/>
      <c r="AE374" s="149"/>
      <c r="AF374" s="149"/>
      <c r="AG374" s="149"/>
      <c r="AH374" s="149"/>
      <c r="AI374" s="149"/>
    </row>
    <row r="375" spans="1:35" ht="36">
      <c r="A375" s="146" t="s">
        <v>49</v>
      </c>
      <c r="B375" s="147">
        <v>52</v>
      </c>
      <c r="C375" s="253" t="s">
        <v>32</v>
      </c>
      <c r="D375" s="147">
        <v>3114</v>
      </c>
      <c r="E375" s="226" t="s">
        <v>750</v>
      </c>
      <c r="F375" s="153" t="s">
        <v>687</v>
      </c>
      <c r="G375" s="618"/>
      <c r="H375" s="879"/>
      <c r="I375" s="880"/>
      <c r="J375" s="149"/>
      <c r="K375" s="149"/>
      <c r="L375" s="149"/>
      <c r="M375" s="149"/>
      <c r="N375" s="149"/>
      <c r="O375" s="149"/>
      <c r="P375" s="149"/>
      <c r="Q375" s="149"/>
      <c r="R375" s="149"/>
      <c r="S375" s="149"/>
      <c r="T375" s="149"/>
      <c r="U375" s="149"/>
      <c r="V375" s="149"/>
      <c r="W375" s="149"/>
      <c r="X375" s="149"/>
      <c r="Y375" s="149"/>
      <c r="Z375" s="149"/>
      <c r="AA375" s="149"/>
      <c r="AB375" s="149"/>
      <c r="AC375" s="149"/>
      <c r="AD375" s="149"/>
      <c r="AE375" s="149"/>
      <c r="AF375" s="149"/>
      <c r="AG375" s="149"/>
      <c r="AH375" s="149"/>
      <c r="AI375" s="149"/>
    </row>
    <row r="376" spans="1:35" ht="36">
      <c r="A376" s="146" t="s">
        <v>49</v>
      </c>
      <c r="B376" s="147">
        <v>52</v>
      </c>
      <c r="C376" s="253" t="s">
        <v>32</v>
      </c>
      <c r="D376" s="151">
        <v>3121</v>
      </c>
      <c r="E376" s="227" t="s">
        <v>51</v>
      </c>
      <c r="F376" s="153" t="s">
        <v>687</v>
      </c>
      <c r="G376" s="618"/>
      <c r="H376" s="879"/>
      <c r="I376" s="880"/>
      <c r="J376" s="149"/>
      <c r="K376" s="149"/>
      <c r="L376" s="149"/>
      <c r="M376" s="149"/>
      <c r="N376" s="149"/>
      <c r="O376" s="149"/>
      <c r="P376" s="149"/>
      <c r="Q376" s="149"/>
      <c r="R376" s="149"/>
      <c r="S376" s="149"/>
      <c r="T376" s="149"/>
      <c r="U376" s="149"/>
      <c r="V376" s="149"/>
      <c r="W376" s="149"/>
      <c r="X376" s="149"/>
      <c r="Y376" s="149"/>
      <c r="Z376" s="149"/>
      <c r="AA376" s="149"/>
      <c r="AB376" s="149"/>
      <c r="AC376" s="149"/>
      <c r="AD376" s="149"/>
      <c r="AE376" s="149"/>
      <c r="AF376" s="149"/>
      <c r="AG376" s="149"/>
      <c r="AH376" s="149"/>
      <c r="AI376" s="149"/>
    </row>
    <row r="377" spans="1:35" ht="36">
      <c r="A377" s="146" t="s">
        <v>49</v>
      </c>
      <c r="B377" s="147">
        <v>52</v>
      </c>
      <c r="C377" s="253" t="s">
        <v>32</v>
      </c>
      <c r="D377" s="151">
        <v>3131</v>
      </c>
      <c r="E377" s="227" t="s">
        <v>752</v>
      </c>
      <c r="F377" s="153" t="s">
        <v>687</v>
      </c>
      <c r="G377" s="618"/>
      <c r="H377" s="879"/>
      <c r="I377" s="880"/>
      <c r="J377" s="149"/>
      <c r="K377" s="149"/>
      <c r="L377" s="149"/>
      <c r="M377" s="149"/>
      <c r="N377" s="149"/>
      <c r="O377" s="149"/>
      <c r="P377" s="149"/>
      <c r="Q377" s="149"/>
      <c r="R377" s="149"/>
      <c r="S377" s="149"/>
      <c r="T377" s="149"/>
      <c r="U377" s="149"/>
      <c r="V377" s="149"/>
      <c r="W377" s="149"/>
      <c r="X377" s="149"/>
      <c r="Y377" s="149"/>
      <c r="Z377" s="149"/>
      <c r="AA377" s="149"/>
      <c r="AB377" s="149"/>
      <c r="AC377" s="149"/>
      <c r="AD377" s="149"/>
      <c r="AE377" s="149"/>
      <c r="AF377" s="149"/>
      <c r="AG377" s="149"/>
      <c r="AH377" s="149"/>
      <c r="AI377" s="149"/>
    </row>
    <row r="378" spans="1:35" ht="48">
      <c r="A378" s="146" t="s">
        <v>49</v>
      </c>
      <c r="B378" s="147">
        <v>52</v>
      </c>
      <c r="C378" s="253" t="s">
        <v>32</v>
      </c>
      <c r="D378" s="151">
        <v>3132</v>
      </c>
      <c r="E378" s="227" t="s">
        <v>52</v>
      </c>
      <c r="F378" s="153" t="s">
        <v>687</v>
      </c>
      <c r="G378" s="618">
        <f>1603+39237</f>
        <v>40840</v>
      </c>
      <c r="H378" s="879">
        <v>74433.320000000007</v>
      </c>
      <c r="I378" s="880">
        <v>168666</v>
      </c>
      <c r="J378" s="149"/>
      <c r="K378" s="149"/>
      <c r="L378" s="149"/>
      <c r="M378" s="149"/>
      <c r="N378" s="149"/>
      <c r="O378" s="149"/>
      <c r="P378" s="149"/>
      <c r="Q378" s="149"/>
      <c r="R378" s="149"/>
      <c r="S378" s="149"/>
      <c r="T378" s="149"/>
      <c r="U378" s="149"/>
      <c r="V378" s="149"/>
      <c r="W378" s="149"/>
      <c r="X378" s="149"/>
      <c r="Y378" s="149"/>
      <c r="Z378" s="149"/>
      <c r="AA378" s="149"/>
      <c r="AB378" s="149"/>
      <c r="AC378" s="149"/>
      <c r="AD378" s="149"/>
      <c r="AE378" s="149"/>
      <c r="AF378" s="149"/>
      <c r="AG378" s="149"/>
      <c r="AH378" s="149"/>
      <c r="AI378" s="149"/>
    </row>
    <row r="379" spans="1:35" ht="72">
      <c r="A379" s="146" t="s">
        <v>49</v>
      </c>
      <c r="B379" s="147">
        <v>52</v>
      </c>
      <c r="C379" s="253" t="s">
        <v>32</v>
      </c>
      <c r="D379" s="151">
        <v>3133</v>
      </c>
      <c r="E379" s="227" t="s">
        <v>753</v>
      </c>
      <c r="F379" s="153" t="s">
        <v>687</v>
      </c>
      <c r="G379" s="618"/>
      <c r="H379" s="879"/>
      <c r="I379" s="880"/>
      <c r="J379" s="149"/>
      <c r="K379" s="149"/>
      <c r="L379" s="149"/>
      <c r="M379" s="149"/>
      <c r="N379" s="149"/>
      <c r="O379" s="149"/>
      <c r="P379" s="149"/>
      <c r="Q379" s="149"/>
      <c r="R379" s="149"/>
      <c r="S379" s="149"/>
      <c r="T379" s="149"/>
      <c r="U379" s="149"/>
      <c r="V379" s="149"/>
      <c r="W379" s="149"/>
      <c r="X379" s="149"/>
      <c r="Y379" s="149"/>
      <c r="Z379" s="149"/>
      <c r="AA379" s="149"/>
      <c r="AB379" s="149"/>
      <c r="AC379" s="149"/>
      <c r="AD379" s="149"/>
      <c r="AE379" s="149"/>
      <c r="AF379" s="149"/>
      <c r="AG379" s="149"/>
      <c r="AH379" s="149"/>
      <c r="AI379" s="149"/>
    </row>
    <row r="380" spans="1:35" ht="24">
      <c r="A380" s="146" t="s">
        <v>49</v>
      </c>
      <c r="B380" s="147">
        <v>52</v>
      </c>
      <c r="C380" s="253" t="s">
        <v>32</v>
      </c>
      <c r="D380" s="151">
        <v>3211</v>
      </c>
      <c r="E380" s="227" t="s">
        <v>60</v>
      </c>
      <c r="F380" s="153" t="s">
        <v>687</v>
      </c>
      <c r="G380" s="618">
        <f>7728+84735</f>
        <v>92463</v>
      </c>
      <c r="H380" s="879">
        <f>1000+2609.52+5324+246.5+284045.63+1260.68</f>
        <v>294486.33</v>
      </c>
      <c r="I380" s="880">
        <v>370000</v>
      </c>
      <c r="J380" s="149"/>
      <c r="K380" s="149"/>
      <c r="L380" s="149"/>
      <c r="M380" s="149"/>
      <c r="N380" s="149"/>
      <c r="O380" s="149"/>
      <c r="P380" s="149"/>
      <c r="Q380" s="149"/>
      <c r="R380" s="149"/>
      <c r="S380" s="149"/>
      <c r="T380" s="149"/>
      <c r="U380" s="149"/>
      <c r="V380" s="149"/>
      <c r="W380" s="149"/>
      <c r="X380" s="149"/>
      <c r="Y380" s="149"/>
      <c r="Z380" s="149"/>
      <c r="AA380" s="149"/>
      <c r="AB380" s="149"/>
      <c r="AC380" s="149"/>
      <c r="AD380" s="149"/>
      <c r="AE380" s="149"/>
      <c r="AF380" s="149"/>
      <c r="AG380" s="149"/>
      <c r="AH380" s="149"/>
      <c r="AI380" s="149"/>
    </row>
    <row r="381" spans="1:35" ht="60">
      <c r="A381" s="146" t="s">
        <v>49</v>
      </c>
      <c r="B381" s="147">
        <v>52</v>
      </c>
      <c r="C381" s="253" t="s">
        <v>32</v>
      </c>
      <c r="D381" s="151">
        <v>3212</v>
      </c>
      <c r="E381" s="227" t="s">
        <v>754</v>
      </c>
      <c r="F381" s="153" t="s">
        <v>687</v>
      </c>
      <c r="G381" s="618"/>
      <c r="H381" s="879"/>
      <c r="I381" s="880"/>
      <c r="J381" s="149"/>
      <c r="K381" s="149"/>
      <c r="L381" s="149"/>
      <c r="M381" s="149"/>
      <c r="N381" s="149"/>
      <c r="O381" s="149"/>
      <c r="P381" s="149"/>
      <c r="Q381" s="149"/>
      <c r="R381" s="149"/>
      <c r="S381" s="149"/>
      <c r="T381" s="149"/>
      <c r="U381" s="149"/>
      <c r="V381" s="149"/>
      <c r="W381" s="149"/>
      <c r="X381" s="149"/>
      <c r="Y381" s="149"/>
      <c r="Z381" s="149"/>
      <c r="AA381" s="149"/>
      <c r="AB381" s="149"/>
      <c r="AC381" s="149"/>
      <c r="AD381" s="149"/>
      <c r="AE381" s="149"/>
      <c r="AF381" s="149"/>
      <c r="AG381" s="149"/>
      <c r="AH381" s="149"/>
      <c r="AI381" s="149"/>
    </row>
    <row r="382" spans="1:35" ht="36">
      <c r="A382" s="146" t="s">
        <v>49</v>
      </c>
      <c r="B382" s="147">
        <v>52</v>
      </c>
      <c r="C382" s="253" t="s">
        <v>32</v>
      </c>
      <c r="D382" s="151">
        <v>3213</v>
      </c>
      <c r="E382" s="227" t="s">
        <v>64</v>
      </c>
      <c r="F382" s="153" t="s">
        <v>687</v>
      </c>
      <c r="G382" s="618"/>
      <c r="H382" s="879"/>
      <c r="I382" s="880"/>
      <c r="J382" s="149"/>
      <c r="K382" s="149"/>
      <c r="L382" s="149"/>
      <c r="M382" s="149"/>
      <c r="N382" s="149"/>
      <c r="O382" s="149"/>
      <c r="P382" s="149"/>
      <c r="Q382" s="149"/>
      <c r="R382" s="149"/>
      <c r="S382" s="149"/>
      <c r="T382" s="149"/>
      <c r="U382" s="149"/>
      <c r="V382" s="149"/>
      <c r="W382" s="149"/>
      <c r="X382" s="149"/>
      <c r="Y382" s="149"/>
      <c r="Z382" s="149"/>
      <c r="AA382" s="149"/>
      <c r="AB382" s="149"/>
      <c r="AC382" s="149"/>
      <c r="AD382" s="149"/>
      <c r="AE382" s="149"/>
      <c r="AF382" s="149"/>
      <c r="AG382" s="149"/>
      <c r="AH382" s="149"/>
      <c r="AI382" s="149"/>
    </row>
    <row r="383" spans="1:35" ht="48">
      <c r="A383" s="146" t="s">
        <v>49</v>
      </c>
      <c r="B383" s="147">
        <v>52</v>
      </c>
      <c r="C383" s="253" t="s">
        <v>32</v>
      </c>
      <c r="D383" s="151">
        <v>3214</v>
      </c>
      <c r="E383" s="227" t="s">
        <v>75</v>
      </c>
      <c r="F383" s="153" t="s">
        <v>687</v>
      </c>
      <c r="G383" s="618"/>
      <c r="H383" s="879"/>
      <c r="I383" s="880"/>
      <c r="J383" s="149"/>
      <c r="K383" s="149"/>
      <c r="L383" s="149"/>
      <c r="M383" s="149"/>
      <c r="N383" s="149"/>
      <c r="O383" s="149"/>
      <c r="P383" s="149"/>
      <c r="Q383" s="149"/>
      <c r="R383" s="149"/>
      <c r="S383" s="149"/>
      <c r="T383" s="149"/>
      <c r="U383" s="149"/>
      <c r="V383" s="149"/>
      <c r="W383" s="149"/>
      <c r="X383" s="149"/>
      <c r="Y383" s="149"/>
      <c r="Z383" s="149"/>
      <c r="AA383" s="149"/>
      <c r="AB383" s="149"/>
      <c r="AC383" s="149"/>
      <c r="AD383" s="149"/>
      <c r="AE383" s="149"/>
      <c r="AF383" s="149"/>
      <c r="AG383" s="149"/>
      <c r="AH383" s="149"/>
      <c r="AI383" s="149"/>
    </row>
    <row r="384" spans="1:35" ht="60">
      <c r="A384" s="146" t="s">
        <v>49</v>
      </c>
      <c r="B384" s="147">
        <v>52</v>
      </c>
      <c r="C384" s="253" t="s">
        <v>32</v>
      </c>
      <c r="D384" s="151">
        <v>3221</v>
      </c>
      <c r="E384" s="227" t="s">
        <v>65</v>
      </c>
      <c r="F384" s="153" t="s">
        <v>687</v>
      </c>
      <c r="G384" s="618"/>
      <c r="H384" s="879">
        <f>1569</f>
        <v>1569</v>
      </c>
      <c r="I384" s="880">
        <v>2000</v>
      </c>
      <c r="J384" s="149"/>
      <c r="K384" s="149"/>
      <c r="L384" s="149"/>
      <c r="M384" s="149"/>
      <c r="N384" s="149"/>
      <c r="O384" s="149"/>
      <c r="P384" s="149"/>
      <c r="Q384" s="149"/>
      <c r="R384" s="149"/>
      <c r="S384" s="149"/>
      <c r="T384" s="149"/>
      <c r="U384" s="149"/>
      <c r="V384" s="149"/>
      <c r="W384" s="149"/>
      <c r="X384" s="149"/>
      <c r="Y384" s="149"/>
      <c r="Z384" s="149"/>
      <c r="AA384" s="149"/>
      <c r="AB384" s="149"/>
      <c r="AC384" s="149"/>
      <c r="AD384" s="149"/>
      <c r="AE384" s="149"/>
      <c r="AF384" s="149"/>
      <c r="AG384" s="149"/>
      <c r="AH384" s="149"/>
      <c r="AI384" s="149"/>
    </row>
    <row r="385" spans="1:35" ht="24">
      <c r="A385" s="146" t="s">
        <v>49</v>
      </c>
      <c r="B385" s="147">
        <v>52</v>
      </c>
      <c r="C385" s="253" t="s">
        <v>32</v>
      </c>
      <c r="D385" s="151">
        <v>3222</v>
      </c>
      <c r="E385" s="227" t="s">
        <v>76</v>
      </c>
      <c r="F385" s="153" t="s">
        <v>687</v>
      </c>
      <c r="G385" s="618"/>
      <c r="H385" s="879"/>
      <c r="I385" s="880"/>
      <c r="J385" s="149"/>
      <c r="K385" s="149"/>
      <c r="L385" s="149"/>
      <c r="M385" s="149"/>
      <c r="N385" s="149"/>
      <c r="O385" s="149"/>
      <c r="P385" s="149"/>
      <c r="Q385" s="149"/>
      <c r="R385" s="149"/>
      <c r="S385" s="149"/>
      <c r="T385" s="149"/>
      <c r="U385" s="149"/>
      <c r="V385" s="149"/>
      <c r="W385" s="149"/>
      <c r="X385" s="149"/>
      <c r="Y385" s="149"/>
      <c r="Z385" s="149"/>
      <c r="AA385" s="149"/>
      <c r="AB385" s="149"/>
      <c r="AC385" s="149"/>
      <c r="AD385" s="149"/>
      <c r="AE385" s="149"/>
      <c r="AF385" s="149"/>
      <c r="AG385" s="149"/>
      <c r="AH385" s="149"/>
      <c r="AI385" s="149"/>
    </row>
    <row r="386" spans="1:35" ht="24">
      <c r="A386" s="146" t="s">
        <v>49</v>
      </c>
      <c r="B386" s="147">
        <v>52</v>
      </c>
      <c r="C386" s="253" t="s">
        <v>32</v>
      </c>
      <c r="D386" s="151">
        <v>3223</v>
      </c>
      <c r="E386" s="227" t="s">
        <v>77</v>
      </c>
      <c r="F386" s="153" t="s">
        <v>687</v>
      </c>
      <c r="G386" s="618"/>
      <c r="H386" s="879"/>
      <c r="I386" s="880"/>
      <c r="J386" s="149"/>
      <c r="K386" s="149"/>
      <c r="L386" s="149"/>
      <c r="M386" s="149"/>
      <c r="N386" s="149"/>
      <c r="O386" s="149"/>
      <c r="P386" s="149"/>
      <c r="Q386" s="149"/>
      <c r="R386" s="149"/>
      <c r="S386" s="149"/>
      <c r="T386" s="149"/>
      <c r="U386" s="149"/>
      <c r="V386" s="149"/>
      <c r="W386" s="149"/>
      <c r="X386" s="149"/>
      <c r="Y386" s="149"/>
      <c r="Z386" s="149"/>
      <c r="AA386" s="149"/>
      <c r="AB386" s="149"/>
      <c r="AC386" s="149"/>
      <c r="AD386" s="149"/>
      <c r="AE386" s="149"/>
      <c r="AF386" s="149"/>
      <c r="AG386" s="149"/>
      <c r="AH386" s="149"/>
      <c r="AI386" s="149"/>
    </row>
    <row r="387" spans="1:35" ht="60">
      <c r="A387" s="146" t="s">
        <v>49</v>
      </c>
      <c r="B387" s="147">
        <v>52</v>
      </c>
      <c r="C387" s="253" t="s">
        <v>32</v>
      </c>
      <c r="D387" s="151">
        <v>3224</v>
      </c>
      <c r="E387" s="227" t="s">
        <v>61</v>
      </c>
      <c r="F387" s="153" t="s">
        <v>687</v>
      </c>
      <c r="G387" s="618"/>
      <c r="H387" s="879">
        <f>1588.1+11063.13</f>
        <v>12651.23</v>
      </c>
      <c r="I387" s="880">
        <v>15000</v>
      </c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  <c r="T387" s="149"/>
      <c r="U387" s="149"/>
      <c r="V387" s="149"/>
      <c r="W387" s="149"/>
      <c r="X387" s="149"/>
      <c r="Y387" s="149"/>
      <c r="Z387" s="149"/>
      <c r="AA387" s="149"/>
      <c r="AB387" s="149"/>
      <c r="AC387" s="149"/>
      <c r="AD387" s="149"/>
      <c r="AE387" s="149"/>
      <c r="AF387" s="149"/>
      <c r="AG387" s="149"/>
      <c r="AH387" s="149"/>
      <c r="AI387" s="149"/>
    </row>
    <row r="388" spans="1:35" ht="36">
      <c r="A388" s="146" t="s">
        <v>49</v>
      </c>
      <c r="B388" s="147">
        <v>52</v>
      </c>
      <c r="C388" s="253" t="s">
        <v>32</v>
      </c>
      <c r="D388" s="151">
        <v>3225</v>
      </c>
      <c r="E388" s="227" t="s">
        <v>78</v>
      </c>
      <c r="F388" s="153" t="s">
        <v>687</v>
      </c>
      <c r="G388" s="618"/>
      <c r="H388" s="879"/>
      <c r="I388" s="880"/>
      <c r="J388" s="149"/>
      <c r="K388" s="149"/>
      <c r="L388" s="149"/>
      <c r="M388" s="149"/>
      <c r="N388" s="149"/>
      <c r="O388" s="149"/>
      <c r="P388" s="149"/>
      <c r="Q388" s="149"/>
      <c r="R388" s="149"/>
      <c r="S388" s="149"/>
      <c r="T388" s="149"/>
      <c r="U388" s="149"/>
      <c r="V388" s="149"/>
      <c r="W388" s="149"/>
      <c r="X388" s="149"/>
      <c r="Y388" s="149"/>
      <c r="Z388" s="149"/>
      <c r="AA388" s="149"/>
      <c r="AB388" s="149"/>
      <c r="AC388" s="149"/>
      <c r="AD388" s="149"/>
      <c r="AE388" s="149"/>
      <c r="AF388" s="149"/>
      <c r="AG388" s="149"/>
      <c r="AH388" s="149"/>
      <c r="AI388" s="149"/>
    </row>
    <row r="389" spans="1:35" ht="60">
      <c r="A389" s="146" t="s">
        <v>49</v>
      </c>
      <c r="B389" s="147">
        <v>52</v>
      </c>
      <c r="C389" s="253" t="s">
        <v>32</v>
      </c>
      <c r="D389" s="151">
        <v>3227</v>
      </c>
      <c r="E389" s="227" t="s">
        <v>89</v>
      </c>
      <c r="F389" s="153" t="s">
        <v>687</v>
      </c>
      <c r="G389" s="618"/>
      <c r="H389" s="879"/>
      <c r="I389" s="880"/>
      <c r="J389" s="149"/>
      <c r="K389" s="149"/>
      <c r="L389" s="149"/>
      <c r="M389" s="149"/>
      <c r="N389" s="149"/>
      <c r="O389" s="149"/>
      <c r="P389" s="149"/>
      <c r="Q389" s="149"/>
      <c r="R389" s="149"/>
      <c r="S389" s="149"/>
      <c r="T389" s="149"/>
      <c r="U389" s="149"/>
      <c r="V389" s="149"/>
      <c r="W389" s="149"/>
      <c r="X389" s="149"/>
      <c r="Y389" s="149"/>
      <c r="Z389" s="149"/>
      <c r="AA389" s="149"/>
      <c r="AB389" s="149"/>
      <c r="AC389" s="149"/>
      <c r="AD389" s="149"/>
      <c r="AE389" s="149"/>
      <c r="AF389" s="149"/>
      <c r="AG389" s="149"/>
      <c r="AH389" s="149"/>
      <c r="AI389" s="149"/>
    </row>
    <row r="390" spans="1:35" ht="48">
      <c r="A390" s="146" t="s">
        <v>49</v>
      </c>
      <c r="B390" s="147">
        <v>52</v>
      </c>
      <c r="C390" s="253" t="s">
        <v>32</v>
      </c>
      <c r="D390" s="151">
        <v>3231</v>
      </c>
      <c r="E390" s="227" t="s">
        <v>79</v>
      </c>
      <c r="F390" s="153" t="s">
        <v>687</v>
      </c>
      <c r="G390" s="618"/>
      <c r="H390" s="879">
        <f>5427.18</f>
        <v>5427.18</v>
      </c>
      <c r="I390" s="880">
        <v>5500</v>
      </c>
      <c r="J390" s="149"/>
      <c r="K390" s="149"/>
      <c r="L390" s="149"/>
      <c r="M390" s="149"/>
      <c r="N390" s="149"/>
      <c r="O390" s="149"/>
      <c r="P390" s="149"/>
      <c r="Q390" s="149"/>
      <c r="R390" s="149"/>
      <c r="S390" s="149"/>
      <c r="T390" s="149"/>
      <c r="U390" s="149"/>
      <c r="V390" s="149"/>
      <c r="W390" s="149"/>
      <c r="X390" s="149"/>
      <c r="Y390" s="149"/>
      <c r="Z390" s="149"/>
      <c r="AA390" s="149"/>
      <c r="AB390" s="149"/>
      <c r="AC390" s="149"/>
      <c r="AD390" s="149"/>
      <c r="AE390" s="149"/>
      <c r="AF390" s="149"/>
      <c r="AG390" s="149"/>
      <c r="AH390" s="149"/>
      <c r="AI390" s="149"/>
    </row>
    <row r="391" spans="1:35" ht="48">
      <c r="A391" s="146" t="s">
        <v>49</v>
      </c>
      <c r="B391" s="147">
        <v>52</v>
      </c>
      <c r="C391" s="253" t="s">
        <v>32</v>
      </c>
      <c r="D391" s="151">
        <v>3232</v>
      </c>
      <c r="E391" s="227" t="s">
        <v>80</v>
      </c>
      <c r="F391" s="153" t="s">
        <v>687</v>
      </c>
      <c r="G391" s="883"/>
      <c r="H391" s="879">
        <f>33110+16440.25</f>
        <v>49550.25</v>
      </c>
      <c r="I391" s="880">
        <v>51000</v>
      </c>
      <c r="J391" s="149"/>
      <c r="K391" s="149"/>
      <c r="L391" s="149"/>
      <c r="M391" s="149"/>
      <c r="N391" s="149"/>
      <c r="O391" s="149"/>
      <c r="P391" s="149"/>
      <c r="Q391" s="149"/>
      <c r="R391" s="149"/>
      <c r="S391" s="149"/>
      <c r="T391" s="149"/>
      <c r="U391" s="149"/>
      <c r="V391" s="149"/>
      <c r="W391" s="149"/>
      <c r="X391" s="149"/>
      <c r="Y391" s="149"/>
      <c r="Z391" s="149"/>
      <c r="AA391" s="149"/>
      <c r="AB391" s="149"/>
      <c r="AC391" s="149"/>
      <c r="AD391" s="149"/>
      <c r="AE391" s="149"/>
      <c r="AF391" s="149"/>
      <c r="AG391" s="149"/>
      <c r="AH391" s="149"/>
      <c r="AI391" s="149"/>
    </row>
    <row r="392" spans="1:35" ht="36">
      <c r="A392" s="146" t="s">
        <v>49</v>
      </c>
      <c r="B392" s="147">
        <v>52</v>
      </c>
      <c r="C392" s="253" t="s">
        <v>32</v>
      </c>
      <c r="D392" s="151">
        <v>3233</v>
      </c>
      <c r="E392" s="227" t="s">
        <v>81</v>
      </c>
      <c r="F392" s="153" t="s">
        <v>687</v>
      </c>
      <c r="G392" s="883"/>
      <c r="H392" s="879"/>
      <c r="I392" s="880"/>
      <c r="J392" s="149"/>
      <c r="K392" s="149"/>
      <c r="L392" s="149"/>
      <c r="M392" s="149"/>
      <c r="N392" s="149"/>
      <c r="O392" s="149"/>
      <c r="P392" s="149"/>
      <c r="Q392" s="149"/>
      <c r="R392" s="149"/>
      <c r="S392" s="149"/>
      <c r="T392" s="149"/>
      <c r="U392" s="149"/>
      <c r="V392" s="149"/>
      <c r="W392" s="149"/>
      <c r="X392" s="149"/>
      <c r="Y392" s="149"/>
      <c r="Z392" s="149"/>
      <c r="AA392" s="149"/>
      <c r="AB392" s="149"/>
      <c r="AC392" s="149"/>
      <c r="AD392" s="149"/>
      <c r="AE392" s="149"/>
      <c r="AF392" s="149"/>
      <c r="AG392" s="149"/>
      <c r="AH392" s="149"/>
      <c r="AI392" s="149"/>
    </row>
    <row r="393" spans="1:35" ht="24">
      <c r="A393" s="146" t="s">
        <v>49</v>
      </c>
      <c r="B393" s="147">
        <v>52</v>
      </c>
      <c r="C393" s="253" t="s">
        <v>32</v>
      </c>
      <c r="D393" s="151">
        <v>3234</v>
      </c>
      <c r="E393" s="227" t="s">
        <v>87</v>
      </c>
      <c r="F393" s="153" t="s">
        <v>687</v>
      </c>
      <c r="G393" s="883"/>
      <c r="H393" s="879"/>
      <c r="I393" s="880"/>
      <c r="J393" s="149"/>
      <c r="K393" s="149"/>
      <c r="L393" s="149"/>
      <c r="M393" s="149"/>
      <c r="N393" s="149"/>
      <c r="O393" s="149"/>
      <c r="P393" s="149"/>
      <c r="Q393" s="149"/>
      <c r="R393" s="149"/>
      <c r="S393" s="149"/>
      <c r="T393" s="149"/>
      <c r="U393" s="149"/>
      <c r="V393" s="149"/>
      <c r="W393" s="149"/>
      <c r="X393" s="149"/>
      <c r="Y393" s="149"/>
      <c r="Z393" s="149"/>
      <c r="AA393" s="149"/>
      <c r="AB393" s="149"/>
      <c r="AC393" s="149"/>
      <c r="AD393" s="149"/>
      <c r="AE393" s="149"/>
      <c r="AF393" s="149"/>
      <c r="AG393" s="149"/>
      <c r="AH393" s="149"/>
      <c r="AI393" s="149"/>
    </row>
    <row r="394" spans="1:35" ht="24">
      <c r="A394" s="146" t="s">
        <v>49</v>
      </c>
      <c r="B394" s="147">
        <v>52</v>
      </c>
      <c r="C394" s="253" t="s">
        <v>32</v>
      </c>
      <c r="D394" s="151">
        <v>3235</v>
      </c>
      <c r="E394" s="227" t="s">
        <v>88</v>
      </c>
      <c r="F394" s="153" t="s">
        <v>687</v>
      </c>
      <c r="G394" s="883"/>
      <c r="H394" s="879"/>
      <c r="I394" s="880"/>
      <c r="J394" s="149"/>
      <c r="K394" s="149"/>
      <c r="L394" s="149"/>
      <c r="M394" s="149"/>
      <c r="N394" s="149"/>
      <c r="O394" s="149"/>
      <c r="P394" s="149"/>
      <c r="Q394" s="149"/>
      <c r="R394" s="149"/>
      <c r="S394" s="149"/>
      <c r="T394" s="149"/>
      <c r="U394" s="149"/>
      <c r="V394" s="149"/>
      <c r="W394" s="149"/>
      <c r="X394" s="149"/>
      <c r="Y394" s="149"/>
      <c r="Z394" s="149"/>
      <c r="AA394" s="149"/>
      <c r="AB394" s="149"/>
      <c r="AC394" s="149"/>
      <c r="AD394" s="149"/>
      <c r="AE394" s="149"/>
      <c r="AF394" s="149"/>
      <c r="AG394" s="149"/>
      <c r="AH394" s="149"/>
      <c r="AI394" s="149"/>
    </row>
    <row r="395" spans="1:35" ht="48">
      <c r="A395" s="146" t="s">
        <v>49</v>
      </c>
      <c r="B395" s="147">
        <v>52</v>
      </c>
      <c r="C395" s="253" t="s">
        <v>32</v>
      </c>
      <c r="D395" s="151">
        <v>3236</v>
      </c>
      <c r="E395" s="227" t="s">
        <v>54</v>
      </c>
      <c r="F395" s="153" t="s">
        <v>687</v>
      </c>
      <c r="G395" s="883"/>
      <c r="H395" s="879"/>
      <c r="I395" s="880"/>
      <c r="J395" s="149"/>
      <c r="K395" s="149"/>
      <c r="L395" s="149"/>
      <c r="M395" s="149"/>
      <c r="N395" s="149"/>
      <c r="O395" s="149"/>
      <c r="P395" s="149"/>
      <c r="Q395" s="149"/>
      <c r="R395" s="149"/>
      <c r="S395" s="149"/>
      <c r="T395" s="149"/>
      <c r="U395" s="149"/>
      <c r="V395" s="149"/>
      <c r="W395" s="149"/>
      <c r="X395" s="149"/>
      <c r="Y395" s="149"/>
      <c r="Z395" s="149"/>
      <c r="AA395" s="149"/>
      <c r="AB395" s="149"/>
      <c r="AC395" s="149"/>
      <c r="AD395" s="149"/>
      <c r="AE395" s="149"/>
      <c r="AF395" s="149"/>
      <c r="AG395" s="149"/>
      <c r="AH395" s="149"/>
      <c r="AI395" s="149"/>
    </row>
    <row r="396" spans="1:35" ht="36">
      <c r="A396" s="146" t="s">
        <v>49</v>
      </c>
      <c r="B396" s="147">
        <v>52</v>
      </c>
      <c r="C396" s="253" t="s">
        <v>32</v>
      </c>
      <c r="D396" s="151">
        <v>3237</v>
      </c>
      <c r="E396" s="227" t="s">
        <v>62</v>
      </c>
      <c r="F396" s="153" t="s">
        <v>687</v>
      </c>
      <c r="G396" s="883"/>
      <c r="H396" s="879">
        <f>2143.58</f>
        <v>2143.58</v>
      </c>
      <c r="I396" s="880">
        <v>3000</v>
      </c>
      <c r="J396" s="149"/>
      <c r="K396" s="149"/>
      <c r="L396" s="149"/>
      <c r="M396" s="149"/>
      <c r="N396" s="149"/>
      <c r="O396" s="149"/>
      <c r="P396" s="149"/>
      <c r="Q396" s="149"/>
      <c r="R396" s="149"/>
      <c r="S396" s="149"/>
      <c r="T396" s="149"/>
      <c r="U396" s="149"/>
      <c r="V396" s="149"/>
      <c r="W396" s="149"/>
      <c r="X396" s="149"/>
      <c r="Y396" s="149"/>
      <c r="Z396" s="149"/>
      <c r="AA396" s="149"/>
      <c r="AB396" s="149"/>
      <c r="AC396" s="149"/>
      <c r="AD396" s="149"/>
      <c r="AE396" s="149"/>
      <c r="AF396" s="149"/>
      <c r="AG396" s="149"/>
      <c r="AH396" s="149"/>
      <c r="AI396" s="149"/>
    </row>
    <row r="397" spans="1:35" ht="24">
      <c r="A397" s="146" t="s">
        <v>49</v>
      </c>
      <c r="B397" s="147">
        <v>52</v>
      </c>
      <c r="C397" s="253" t="s">
        <v>32</v>
      </c>
      <c r="D397" s="151">
        <v>3238</v>
      </c>
      <c r="E397" s="227" t="s">
        <v>82</v>
      </c>
      <c r="F397" s="153" t="s">
        <v>687</v>
      </c>
      <c r="G397" s="883"/>
      <c r="H397" s="879"/>
      <c r="I397" s="880"/>
      <c r="J397" s="149"/>
      <c r="K397" s="149"/>
      <c r="L397" s="149"/>
      <c r="M397" s="149"/>
      <c r="N397" s="149"/>
      <c r="O397" s="149"/>
      <c r="P397" s="149"/>
      <c r="Q397" s="149"/>
      <c r="R397" s="149"/>
      <c r="S397" s="149"/>
      <c r="T397" s="149"/>
      <c r="U397" s="149"/>
      <c r="V397" s="149"/>
      <c r="W397" s="149"/>
      <c r="X397" s="149"/>
      <c r="Y397" s="149"/>
      <c r="Z397" s="149"/>
      <c r="AA397" s="149"/>
      <c r="AB397" s="149"/>
      <c r="AC397" s="149"/>
      <c r="AD397" s="149"/>
      <c r="AE397" s="149"/>
      <c r="AF397" s="149"/>
      <c r="AG397" s="149"/>
      <c r="AH397" s="149"/>
      <c r="AI397" s="149"/>
    </row>
    <row r="398" spans="1:35" ht="24">
      <c r="A398" s="146" t="s">
        <v>49</v>
      </c>
      <c r="B398" s="147">
        <v>52</v>
      </c>
      <c r="C398" s="253" t="s">
        <v>32</v>
      </c>
      <c r="D398" s="151">
        <v>3239</v>
      </c>
      <c r="E398" s="227" t="s">
        <v>66</v>
      </c>
      <c r="F398" s="153" t="s">
        <v>687</v>
      </c>
      <c r="G398" s="883"/>
      <c r="H398" s="879"/>
      <c r="I398" s="880"/>
      <c r="J398" s="149"/>
      <c r="K398" s="149"/>
      <c r="L398" s="149"/>
      <c r="M398" s="149"/>
      <c r="N398" s="149"/>
      <c r="O398" s="149"/>
      <c r="P398" s="149"/>
      <c r="Q398" s="149"/>
      <c r="R398" s="149"/>
      <c r="S398" s="149"/>
      <c r="T398" s="149"/>
      <c r="U398" s="149"/>
      <c r="V398" s="149"/>
      <c r="W398" s="149"/>
      <c r="X398" s="149"/>
      <c r="Y398" s="149"/>
      <c r="Z398" s="149"/>
      <c r="AA398" s="149"/>
      <c r="AB398" s="149"/>
      <c r="AC398" s="149"/>
      <c r="AD398" s="149"/>
      <c r="AE398" s="149"/>
      <c r="AF398" s="149"/>
      <c r="AG398" s="149"/>
      <c r="AH398" s="149"/>
      <c r="AI398" s="149"/>
    </row>
    <row r="399" spans="1:35" ht="60">
      <c r="A399" s="146" t="s">
        <v>49</v>
      </c>
      <c r="B399" s="147">
        <v>52</v>
      </c>
      <c r="C399" s="253" t="s">
        <v>32</v>
      </c>
      <c r="D399" s="151">
        <v>3241</v>
      </c>
      <c r="E399" s="227" t="s">
        <v>67</v>
      </c>
      <c r="F399" s="153" t="s">
        <v>687</v>
      </c>
      <c r="G399" s="883"/>
      <c r="H399" s="879">
        <f>11253+2653.6</f>
        <v>13906.6</v>
      </c>
      <c r="I399" s="880">
        <v>15000</v>
      </c>
      <c r="J399" s="149"/>
      <c r="K399" s="149"/>
      <c r="L399" s="149"/>
      <c r="M399" s="149"/>
      <c r="N399" s="149"/>
      <c r="O399" s="149"/>
      <c r="P399" s="149"/>
      <c r="Q399" s="149"/>
      <c r="R399" s="149"/>
      <c r="S399" s="149"/>
      <c r="T399" s="149"/>
      <c r="U399" s="149"/>
      <c r="V399" s="149"/>
      <c r="W399" s="149"/>
      <c r="X399" s="149"/>
      <c r="Y399" s="149"/>
      <c r="Z399" s="149"/>
      <c r="AA399" s="149"/>
      <c r="AB399" s="149"/>
      <c r="AC399" s="149"/>
      <c r="AD399" s="149"/>
      <c r="AE399" s="149"/>
      <c r="AF399" s="149"/>
      <c r="AG399" s="149"/>
      <c r="AH399" s="149"/>
      <c r="AI399" s="149"/>
    </row>
    <row r="400" spans="1:35" ht="60">
      <c r="A400" s="146" t="s">
        <v>49</v>
      </c>
      <c r="B400" s="147">
        <v>52</v>
      </c>
      <c r="C400" s="253" t="s">
        <v>32</v>
      </c>
      <c r="D400" s="151">
        <v>3291</v>
      </c>
      <c r="E400" s="227" t="s">
        <v>713</v>
      </c>
      <c r="F400" s="153" t="s">
        <v>687</v>
      </c>
      <c r="G400" s="883"/>
      <c r="H400" s="879"/>
      <c r="I400" s="880"/>
      <c r="J400" s="149"/>
      <c r="K400" s="149"/>
      <c r="L400" s="149"/>
      <c r="M400" s="149"/>
      <c r="N400" s="149"/>
      <c r="O400" s="149"/>
      <c r="P400" s="149"/>
      <c r="Q400" s="149"/>
      <c r="R400" s="149"/>
      <c r="S400" s="149"/>
      <c r="T400" s="149"/>
      <c r="U400" s="149"/>
      <c r="V400" s="149"/>
      <c r="W400" s="149"/>
      <c r="X400" s="149"/>
      <c r="Y400" s="149"/>
      <c r="Z400" s="149"/>
      <c r="AA400" s="149"/>
      <c r="AB400" s="149"/>
      <c r="AC400" s="149"/>
      <c r="AD400" s="149"/>
      <c r="AE400" s="149"/>
      <c r="AF400" s="149"/>
      <c r="AG400" s="149"/>
      <c r="AH400" s="149"/>
      <c r="AI400" s="149"/>
    </row>
    <row r="401" spans="1:35" ht="24">
      <c r="A401" s="146" t="s">
        <v>49</v>
      </c>
      <c r="B401" s="147">
        <v>52</v>
      </c>
      <c r="C401" s="253" t="s">
        <v>32</v>
      </c>
      <c r="D401" s="151">
        <v>3292</v>
      </c>
      <c r="E401" s="227" t="s">
        <v>59</v>
      </c>
      <c r="F401" s="153" t="s">
        <v>687</v>
      </c>
      <c r="G401" s="883"/>
      <c r="H401" s="879"/>
      <c r="I401" s="880"/>
      <c r="J401" s="149"/>
      <c r="K401" s="149"/>
      <c r="L401" s="149"/>
      <c r="M401" s="149"/>
      <c r="N401" s="149"/>
      <c r="O401" s="149"/>
      <c r="P401" s="149"/>
      <c r="Q401" s="149"/>
      <c r="R401" s="149"/>
      <c r="S401" s="149"/>
      <c r="T401" s="149"/>
      <c r="U401" s="149"/>
      <c r="V401" s="149"/>
      <c r="W401" s="149"/>
      <c r="X401" s="149"/>
      <c r="Y401" s="149"/>
      <c r="Z401" s="149"/>
      <c r="AA401" s="149"/>
      <c r="AB401" s="149"/>
      <c r="AC401" s="149"/>
      <c r="AD401" s="149"/>
      <c r="AE401" s="149"/>
      <c r="AF401" s="149"/>
      <c r="AG401" s="149"/>
      <c r="AH401" s="149"/>
      <c r="AI401" s="149"/>
    </row>
    <row r="402" spans="1:35" ht="24">
      <c r="A402" s="146" t="s">
        <v>49</v>
      </c>
      <c r="B402" s="147">
        <v>52</v>
      </c>
      <c r="C402" s="253" t="s">
        <v>32</v>
      </c>
      <c r="D402" s="151">
        <v>3293</v>
      </c>
      <c r="E402" s="227" t="s">
        <v>68</v>
      </c>
      <c r="F402" s="153" t="s">
        <v>687</v>
      </c>
      <c r="G402" s="883"/>
      <c r="H402" s="879">
        <v>509.82</v>
      </c>
      <c r="I402" s="880">
        <v>510</v>
      </c>
      <c r="J402" s="149"/>
      <c r="K402" s="149"/>
      <c r="L402" s="149"/>
      <c r="M402" s="149"/>
      <c r="N402" s="149"/>
      <c r="O402" s="149"/>
      <c r="P402" s="149"/>
      <c r="Q402" s="149"/>
      <c r="R402" s="149"/>
      <c r="S402" s="149"/>
      <c r="T402" s="149"/>
      <c r="U402" s="149"/>
      <c r="V402" s="149"/>
      <c r="W402" s="149"/>
      <c r="X402" s="149"/>
      <c r="Y402" s="149"/>
      <c r="Z402" s="149"/>
      <c r="AA402" s="149"/>
      <c r="AB402" s="149"/>
      <c r="AC402" s="149"/>
      <c r="AD402" s="149"/>
      <c r="AE402" s="149"/>
      <c r="AF402" s="149"/>
      <c r="AG402" s="149"/>
      <c r="AH402" s="149"/>
      <c r="AI402" s="149"/>
    </row>
    <row r="403" spans="1:35" ht="24">
      <c r="A403" s="146" t="s">
        <v>49</v>
      </c>
      <c r="B403" s="147">
        <v>52</v>
      </c>
      <c r="C403" s="253" t="s">
        <v>32</v>
      </c>
      <c r="D403" s="151">
        <v>3294</v>
      </c>
      <c r="E403" s="227" t="s">
        <v>69</v>
      </c>
      <c r="F403" s="153" t="s">
        <v>687</v>
      </c>
      <c r="G403" s="883"/>
      <c r="H403" s="879"/>
      <c r="I403" s="880"/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  <c r="T403" s="149"/>
      <c r="U403" s="149"/>
      <c r="V403" s="149"/>
      <c r="W403" s="149"/>
      <c r="X403" s="149"/>
      <c r="Y403" s="149"/>
      <c r="Z403" s="149"/>
      <c r="AA403" s="149"/>
      <c r="AB403" s="149"/>
      <c r="AC403" s="149"/>
      <c r="AD403" s="149"/>
      <c r="AE403" s="149"/>
      <c r="AF403" s="149"/>
      <c r="AG403" s="149"/>
      <c r="AH403" s="149"/>
      <c r="AI403" s="149"/>
    </row>
    <row r="404" spans="1:35" ht="24">
      <c r="A404" s="146" t="s">
        <v>49</v>
      </c>
      <c r="B404" s="147">
        <v>52</v>
      </c>
      <c r="C404" s="253" t="s">
        <v>32</v>
      </c>
      <c r="D404" s="151">
        <v>3295</v>
      </c>
      <c r="E404" s="227" t="s">
        <v>55</v>
      </c>
      <c r="F404" s="153" t="s">
        <v>687</v>
      </c>
      <c r="G404" s="883"/>
      <c r="H404" s="879"/>
      <c r="I404" s="880"/>
      <c r="J404" s="149"/>
      <c r="K404" s="149"/>
      <c r="L404" s="149"/>
      <c r="M404" s="149"/>
      <c r="N404" s="149"/>
      <c r="O404" s="149"/>
      <c r="P404" s="149"/>
      <c r="Q404" s="149"/>
      <c r="R404" s="149"/>
      <c r="S404" s="149"/>
      <c r="T404" s="149"/>
      <c r="U404" s="149"/>
      <c r="V404" s="149"/>
      <c r="W404" s="149"/>
      <c r="X404" s="149"/>
      <c r="Y404" s="149"/>
      <c r="Z404" s="149"/>
      <c r="AA404" s="149"/>
      <c r="AB404" s="149"/>
      <c r="AC404" s="149"/>
      <c r="AD404" s="149"/>
      <c r="AE404" s="149"/>
      <c r="AF404" s="149"/>
      <c r="AG404" s="149"/>
      <c r="AH404" s="149"/>
      <c r="AI404" s="149"/>
    </row>
    <row r="405" spans="1:35" ht="36">
      <c r="A405" s="146" t="s">
        <v>49</v>
      </c>
      <c r="B405" s="147">
        <v>52</v>
      </c>
      <c r="C405" s="253" t="s">
        <v>32</v>
      </c>
      <c r="D405" s="151">
        <v>3296</v>
      </c>
      <c r="E405" s="227" t="s">
        <v>97</v>
      </c>
      <c r="F405" s="153" t="s">
        <v>687</v>
      </c>
      <c r="G405" s="883"/>
      <c r="H405" s="879"/>
      <c r="I405" s="880"/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  <c r="T405" s="149"/>
      <c r="U405" s="149"/>
      <c r="V405" s="149"/>
      <c r="W405" s="149"/>
      <c r="X405" s="149"/>
      <c r="Y405" s="149"/>
      <c r="Z405" s="149"/>
      <c r="AA405" s="149"/>
      <c r="AB405" s="149"/>
      <c r="AC405" s="149"/>
      <c r="AD405" s="149"/>
      <c r="AE405" s="149"/>
      <c r="AF405" s="149"/>
      <c r="AG405" s="149"/>
      <c r="AH405" s="149"/>
      <c r="AI405" s="149"/>
    </row>
    <row r="406" spans="1:35" ht="48">
      <c r="A406" s="146" t="s">
        <v>49</v>
      </c>
      <c r="B406" s="147">
        <v>52</v>
      </c>
      <c r="C406" s="253" t="s">
        <v>32</v>
      </c>
      <c r="D406" s="151">
        <v>3299</v>
      </c>
      <c r="E406" s="227" t="s">
        <v>57</v>
      </c>
      <c r="F406" s="153" t="s">
        <v>687</v>
      </c>
      <c r="G406" s="883"/>
      <c r="H406" s="879">
        <v>4151.63</v>
      </c>
      <c r="I406" s="880">
        <v>6000</v>
      </c>
      <c r="J406" s="149"/>
      <c r="K406" s="149"/>
      <c r="L406" s="149"/>
      <c r="M406" s="149"/>
      <c r="N406" s="149"/>
      <c r="O406" s="149"/>
      <c r="P406" s="149"/>
      <c r="Q406" s="149"/>
      <c r="R406" s="149"/>
      <c r="S406" s="149"/>
      <c r="T406" s="149"/>
      <c r="U406" s="149"/>
      <c r="V406" s="149"/>
      <c r="W406" s="149"/>
      <c r="X406" s="149"/>
      <c r="Y406" s="149"/>
      <c r="Z406" s="149"/>
      <c r="AA406" s="149"/>
      <c r="AB406" s="149"/>
      <c r="AC406" s="149"/>
      <c r="AD406" s="149"/>
      <c r="AE406" s="149"/>
      <c r="AF406" s="149"/>
      <c r="AG406" s="149"/>
      <c r="AH406" s="149"/>
      <c r="AI406" s="149"/>
    </row>
    <row r="407" spans="1:35" ht="60">
      <c r="A407" s="146" t="s">
        <v>49</v>
      </c>
      <c r="B407" s="147">
        <v>52</v>
      </c>
      <c r="C407" s="253" t="s">
        <v>32</v>
      </c>
      <c r="D407" s="151">
        <v>3431</v>
      </c>
      <c r="E407" s="227" t="s">
        <v>70</v>
      </c>
      <c r="F407" s="153" t="s">
        <v>687</v>
      </c>
      <c r="G407" s="883"/>
      <c r="H407" s="879"/>
      <c r="I407" s="880"/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  <c r="T407" s="149"/>
      <c r="U407" s="149"/>
      <c r="V407" s="149"/>
      <c r="W407" s="149"/>
      <c r="X407" s="149"/>
      <c r="Y407" s="149"/>
      <c r="Z407" s="149"/>
      <c r="AA407" s="149"/>
      <c r="AB407" s="149"/>
      <c r="AC407" s="149"/>
      <c r="AD407" s="149"/>
      <c r="AE407" s="149"/>
      <c r="AF407" s="149"/>
      <c r="AG407" s="149"/>
      <c r="AH407" s="149"/>
      <c r="AI407" s="149"/>
    </row>
    <row r="408" spans="1:35" ht="72">
      <c r="A408" s="146" t="s">
        <v>49</v>
      </c>
      <c r="B408" s="147">
        <v>52</v>
      </c>
      <c r="C408" s="253" t="s">
        <v>32</v>
      </c>
      <c r="D408" s="151">
        <v>3432</v>
      </c>
      <c r="E408" s="227" t="s">
        <v>71</v>
      </c>
      <c r="F408" s="153" t="s">
        <v>687</v>
      </c>
      <c r="G408" s="883"/>
      <c r="H408" s="879">
        <v>152.27000000000001</v>
      </c>
      <c r="I408" s="880">
        <v>200</v>
      </c>
      <c r="J408" s="149"/>
      <c r="K408" s="149"/>
      <c r="L408" s="149"/>
      <c r="M408" s="149"/>
      <c r="N408" s="149"/>
      <c r="O408" s="149"/>
      <c r="P408" s="149"/>
      <c r="Q408" s="149"/>
      <c r="R408" s="149"/>
      <c r="S408" s="149"/>
      <c r="T408" s="149"/>
      <c r="U408" s="149"/>
      <c r="V408" s="149"/>
      <c r="W408" s="149"/>
      <c r="X408" s="149"/>
      <c r="Y408" s="149"/>
      <c r="Z408" s="149"/>
      <c r="AA408" s="149"/>
      <c r="AB408" s="149"/>
      <c r="AC408" s="149"/>
      <c r="AD408" s="149"/>
      <c r="AE408" s="149"/>
      <c r="AF408" s="149"/>
      <c r="AG408" s="149"/>
      <c r="AH408" s="149"/>
      <c r="AI408" s="149"/>
    </row>
    <row r="409" spans="1:35" ht="48">
      <c r="A409" s="146" t="s">
        <v>49</v>
      </c>
      <c r="B409" s="147">
        <v>52</v>
      </c>
      <c r="C409" s="253" t="s">
        <v>32</v>
      </c>
      <c r="D409" s="151">
        <v>3433</v>
      </c>
      <c r="E409" s="227" t="s">
        <v>725</v>
      </c>
      <c r="F409" s="153" t="s">
        <v>687</v>
      </c>
      <c r="G409" s="883"/>
      <c r="H409" s="879"/>
      <c r="I409" s="880"/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  <c r="T409" s="149"/>
      <c r="U409" s="149"/>
      <c r="V409" s="149"/>
      <c r="W409" s="149"/>
      <c r="X409" s="149"/>
      <c r="Y409" s="149"/>
      <c r="Z409" s="149"/>
      <c r="AA409" s="149"/>
      <c r="AB409" s="149"/>
      <c r="AC409" s="149"/>
      <c r="AD409" s="149"/>
      <c r="AE409" s="149"/>
      <c r="AF409" s="149"/>
      <c r="AG409" s="149"/>
      <c r="AH409" s="149"/>
      <c r="AI409" s="149"/>
    </row>
    <row r="410" spans="1:35" ht="48">
      <c r="A410" s="146" t="s">
        <v>49</v>
      </c>
      <c r="B410" s="147">
        <v>52</v>
      </c>
      <c r="C410" s="253" t="s">
        <v>32</v>
      </c>
      <c r="D410" s="151">
        <v>3434</v>
      </c>
      <c r="E410" s="227" t="s">
        <v>94</v>
      </c>
      <c r="F410" s="153" t="s">
        <v>687</v>
      </c>
      <c r="G410" s="883"/>
      <c r="H410" s="879"/>
      <c r="I410" s="880"/>
      <c r="J410" s="149"/>
      <c r="K410" s="149"/>
      <c r="L410" s="149"/>
      <c r="M410" s="149"/>
      <c r="N410" s="149"/>
      <c r="O410" s="149"/>
      <c r="P410" s="149"/>
      <c r="Q410" s="149"/>
      <c r="R410" s="149"/>
      <c r="S410" s="149"/>
      <c r="T410" s="149"/>
      <c r="U410" s="149"/>
      <c r="V410" s="149"/>
      <c r="W410" s="149"/>
      <c r="X410" s="149"/>
      <c r="Y410" s="149"/>
      <c r="Z410" s="149"/>
      <c r="AA410" s="149"/>
      <c r="AB410" s="149"/>
      <c r="AC410" s="149"/>
      <c r="AD410" s="149"/>
      <c r="AE410" s="149"/>
      <c r="AF410" s="149"/>
      <c r="AG410" s="149"/>
      <c r="AH410" s="149"/>
      <c r="AI410" s="149"/>
    </row>
    <row r="411" spans="1:35" ht="36">
      <c r="A411" s="146" t="s">
        <v>49</v>
      </c>
      <c r="B411" s="147">
        <v>52</v>
      </c>
      <c r="C411" s="253" t="s">
        <v>32</v>
      </c>
      <c r="D411" s="151">
        <v>3522</v>
      </c>
      <c r="E411" s="227" t="s">
        <v>755</v>
      </c>
      <c r="F411" s="153" t="s">
        <v>687</v>
      </c>
      <c r="G411" s="883"/>
      <c r="H411" s="879"/>
      <c r="I411" s="880"/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  <c r="T411" s="149"/>
      <c r="U411" s="149"/>
      <c r="V411" s="149"/>
      <c r="W411" s="149"/>
      <c r="X411" s="149"/>
      <c r="Y411" s="149"/>
      <c r="Z411" s="149"/>
      <c r="AA411" s="149"/>
      <c r="AB411" s="149"/>
      <c r="AC411" s="149"/>
      <c r="AD411" s="149"/>
      <c r="AE411" s="149"/>
      <c r="AF411" s="149"/>
      <c r="AG411" s="149"/>
      <c r="AH411" s="149"/>
      <c r="AI411" s="149"/>
    </row>
    <row r="412" spans="1:35" ht="84">
      <c r="A412" s="146" t="s">
        <v>49</v>
      </c>
      <c r="B412" s="147">
        <v>52</v>
      </c>
      <c r="C412" s="253" t="s">
        <v>32</v>
      </c>
      <c r="D412" s="151">
        <v>3691</v>
      </c>
      <c r="E412" s="227" t="s">
        <v>36</v>
      </c>
      <c r="F412" s="153" t="s">
        <v>687</v>
      </c>
      <c r="G412" s="618">
        <v>3502</v>
      </c>
      <c r="H412" s="879"/>
      <c r="I412" s="880"/>
      <c r="J412" s="149"/>
      <c r="K412" s="149"/>
      <c r="L412" s="149"/>
      <c r="M412" s="149"/>
      <c r="N412" s="149"/>
      <c r="O412" s="149"/>
      <c r="P412" s="149"/>
      <c r="Q412" s="149"/>
      <c r="R412" s="149"/>
      <c r="S412" s="149"/>
      <c r="T412" s="149"/>
      <c r="U412" s="149"/>
      <c r="V412" s="149"/>
      <c r="W412" s="149"/>
      <c r="X412" s="149"/>
      <c r="Y412" s="149"/>
      <c r="Z412" s="149"/>
      <c r="AA412" s="149"/>
      <c r="AB412" s="149"/>
      <c r="AC412" s="149"/>
      <c r="AD412" s="149"/>
      <c r="AE412" s="149"/>
      <c r="AF412" s="149"/>
      <c r="AG412" s="149"/>
      <c r="AH412" s="149"/>
      <c r="AI412" s="149"/>
    </row>
    <row r="413" spans="1:35" ht="84">
      <c r="A413" s="146" t="s">
        <v>49</v>
      </c>
      <c r="B413" s="147">
        <v>52</v>
      </c>
      <c r="C413" s="253" t="s">
        <v>32</v>
      </c>
      <c r="D413" s="151">
        <v>3692</v>
      </c>
      <c r="E413" s="227" t="s">
        <v>695</v>
      </c>
      <c r="F413" s="153" t="s">
        <v>687</v>
      </c>
      <c r="G413" s="883"/>
      <c r="H413" s="879"/>
      <c r="I413" s="880"/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  <c r="T413" s="149"/>
      <c r="U413" s="149"/>
      <c r="V413" s="149"/>
      <c r="W413" s="149"/>
      <c r="X413" s="149"/>
      <c r="Y413" s="149"/>
      <c r="Z413" s="149"/>
      <c r="AA413" s="149"/>
      <c r="AB413" s="149"/>
      <c r="AC413" s="149"/>
      <c r="AD413" s="149"/>
      <c r="AE413" s="149"/>
      <c r="AF413" s="149"/>
      <c r="AG413" s="149"/>
      <c r="AH413" s="149"/>
      <c r="AI413" s="149"/>
    </row>
    <row r="414" spans="1:35" ht="120">
      <c r="A414" s="848" t="s">
        <v>49</v>
      </c>
      <c r="B414" s="849">
        <v>52</v>
      </c>
      <c r="C414" s="850" t="s">
        <v>32</v>
      </c>
      <c r="D414" s="854">
        <v>3693</v>
      </c>
      <c r="E414" s="855" t="s">
        <v>37</v>
      </c>
      <c r="F414" s="863" t="s">
        <v>687</v>
      </c>
      <c r="G414" s="618">
        <v>19843</v>
      </c>
      <c r="H414" s="879"/>
      <c r="I414" s="880"/>
      <c r="J414" s="149"/>
      <c r="K414" s="149"/>
      <c r="L414" s="149"/>
      <c r="M414" s="149"/>
      <c r="N414" s="149"/>
      <c r="O414" s="149"/>
      <c r="P414" s="149"/>
      <c r="Q414" s="149"/>
      <c r="R414" s="149"/>
      <c r="S414" s="149"/>
      <c r="T414" s="149"/>
      <c r="U414" s="149"/>
      <c r="V414" s="149"/>
      <c r="W414" s="149"/>
      <c r="X414" s="149"/>
      <c r="Y414" s="149"/>
      <c r="Z414" s="149"/>
      <c r="AA414" s="149"/>
      <c r="AB414" s="149"/>
      <c r="AC414" s="149"/>
      <c r="AD414" s="149"/>
      <c r="AE414" s="149"/>
      <c r="AF414" s="149"/>
      <c r="AG414" s="149"/>
      <c r="AH414" s="149"/>
      <c r="AI414" s="149"/>
    </row>
    <row r="415" spans="1:35" ht="48">
      <c r="A415" s="146" t="s">
        <v>49</v>
      </c>
      <c r="B415" s="147">
        <v>52</v>
      </c>
      <c r="C415" s="253" t="s">
        <v>32</v>
      </c>
      <c r="D415" s="151">
        <v>3721</v>
      </c>
      <c r="E415" s="227" t="s">
        <v>84</v>
      </c>
      <c r="F415" s="153" t="s">
        <v>687</v>
      </c>
      <c r="G415" s="618"/>
      <c r="H415" s="879"/>
      <c r="I415" s="880"/>
      <c r="J415" s="149"/>
      <c r="K415" s="149"/>
      <c r="L415" s="149"/>
      <c r="M415" s="149"/>
      <c r="N415" s="149"/>
      <c r="O415" s="149"/>
      <c r="P415" s="149"/>
      <c r="Q415" s="149"/>
      <c r="R415" s="149"/>
      <c r="S415" s="149"/>
      <c r="T415" s="149"/>
      <c r="U415" s="149"/>
      <c r="V415" s="149"/>
      <c r="W415" s="149"/>
      <c r="X415" s="149"/>
      <c r="Y415" s="149"/>
      <c r="Z415" s="149"/>
      <c r="AA415" s="149"/>
      <c r="AB415" s="149"/>
      <c r="AC415" s="149"/>
      <c r="AD415" s="149"/>
      <c r="AE415" s="149"/>
      <c r="AF415" s="149"/>
      <c r="AG415" s="149"/>
      <c r="AH415" s="149"/>
      <c r="AI415" s="149"/>
    </row>
    <row r="416" spans="1:35" ht="60">
      <c r="A416" s="146" t="s">
        <v>49</v>
      </c>
      <c r="B416" s="147">
        <v>52</v>
      </c>
      <c r="C416" s="253" t="s">
        <v>32</v>
      </c>
      <c r="D416" s="151">
        <v>3723</v>
      </c>
      <c r="E416" s="227" t="s">
        <v>784</v>
      </c>
      <c r="F416" s="153" t="s">
        <v>687</v>
      </c>
      <c r="G416" s="618"/>
      <c r="H416" s="879"/>
      <c r="I416" s="880"/>
      <c r="J416" s="149"/>
      <c r="K416" s="149"/>
      <c r="L416" s="149"/>
      <c r="M416" s="149"/>
      <c r="N416" s="149"/>
      <c r="O416" s="149"/>
      <c r="P416" s="149"/>
      <c r="Q416" s="149"/>
      <c r="R416" s="149"/>
      <c r="S416" s="149"/>
      <c r="T416" s="149"/>
      <c r="U416" s="149"/>
      <c r="V416" s="149"/>
      <c r="W416" s="149"/>
      <c r="X416" s="149"/>
      <c r="Y416" s="149"/>
      <c r="Z416" s="149"/>
      <c r="AA416" s="149"/>
      <c r="AB416" s="149"/>
      <c r="AC416" s="149"/>
      <c r="AD416" s="149"/>
      <c r="AE416" s="149"/>
      <c r="AF416" s="149"/>
      <c r="AG416" s="149"/>
      <c r="AH416" s="149"/>
      <c r="AI416" s="149"/>
    </row>
    <row r="417" spans="1:35" ht="36">
      <c r="A417" s="150" t="s">
        <v>49</v>
      </c>
      <c r="B417" s="151">
        <v>52</v>
      </c>
      <c r="C417" s="254" t="s">
        <v>32</v>
      </c>
      <c r="D417" s="151">
        <v>3811</v>
      </c>
      <c r="E417" s="227" t="s">
        <v>56</v>
      </c>
      <c r="F417" s="153" t="s">
        <v>687</v>
      </c>
      <c r="G417" s="618">
        <v>100462</v>
      </c>
      <c r="H417" s="879">
        <v>558132.09</v>
      </c>
      <c r="I417" s="880">
        <v>558132</v>
      </c>
      <c r="J417" s="149"/>
      <c r="K417" s="149"/>
      <c r="L417" s="149"/>
      <c r="M417" s="149"/>
      <c r="N417" s="149"/>
      <c r="O417" s="149"/>
      <c r="P417" s="149"/>
      <c r="Q417" s="149"/>
      <c r="R417" s="149"/>
      <c r="S417" s="149"/>
      <c r="T417" s="149"/>
      <c r="U417" s="149"/>
      <c r="V417" s="149"/>
      <c r="W417" s="149"/>
      <c r="X417" s="149"/>
      <c r="Y417" s="149"/>
      <c r="Z417" s="149"/>
      <c r="AA417" s="149"/>
      <c r="AB417" s="149"/>
      <c r="AC417" s="149"/>
      <c r="AD417" s="149"/>
      <c r="AE417" s="149"/>
      <c r="AF417" s="149"/>
      <c r="AG417" s="149"/>
      <c r="AH417" s="149"/>
      <c r="AI417" s="149"/>
    </row>
    <row r="418" spans="1:35" ht="48">
      <c r="A418" s="150" t="s">
        <v>49</v>
      </c>
      <c r="B418" s="151">
        <v>52</v>
      </c>
      <c r="C418" s="254" t="s">
        <v>32</v>
      </c>
      <c r="D418" s="151">
        <v>383</v>
      </c>
      <c r="E418" s="227" t="s">
        <v>756</v>
      </c>
      <c r="F418" s="153" t="s">
        <v>687</v>
      </c>
      <c r="G418" s="883"/>
      <c r="H418" s="879"/>
      <c r="I418" s="880"/>
      <c r="J418" s="149"/>
      <c r="K418" s="149"/>
      <c r="L418" s="149"/>
      <c r="M418" s="149"/>
      <c r="N418" s="149"/>
      <c r="O418" s="149"/>
      <c r="P418" s="149"/>
      <c r="Q418" s="149"/>
      <c r="R418" s="149"/>
      <c r="S418" s="149"/>
      <c r="T418" s="149"/>
      <c r="U418" s="149"/>
      <c r="V418" s="149"/>
      <c r="W418" s="149"/>
      <c r="X418" s="149"/>
      <c r="Y418" s="149"/>
      <c r="Z418" s="149"/>
      <c r="AA418" s="149"/>
      <c r="AB418" s="149"/>
      <c r="AC418" s="149"/>
      <c r="AD418" s="149"/>
      <c r="AE418" s="149"/>
      <c r="AF418" s="149"/>
      <c r="AG418" s="149"/>
      <c r="AH418" s="149"/>
      <c r="AI418" s="149"/>
    </row>
    <row r="419" spans="1:35" ht="24">
      <c r="A419" s="150" t="s">
        <v>49</v>
      </c>
      <c r="B419" s="151">
        <v>52</v>
      </c>
      <c r="C419" s="254" t="s">
        <v>32</v>
      </c>
      <c r="D419" s="151">
        <v>4123</v>
      </c>
      <c r="E419" s="227" t="s">
        <v>92</v>
      </c>
      <c r="F419" s="153" t="s">
        <v>687</v>
      </c>
      <c r="G419" s="883"/>
      <c r="H419" s="879"/>
      <c r="I419" s="880"/>
      <c r="J419" s="149"/>
      <c r="K419" s="149"/>
      <c r="L419" s="149"/>
      <c r="M419" s="149"/>
      <c r="N419" s="149"/>
      <c r="O419" s="149"/>
      <c r="P419" s="149"/>
      <c r="Q419" s="149"/>
      <c r="R419" s="149"/>
      <c r="S419" s="149"/>
      <c r="T419" s="149"/>
      <c r="U419" s="149"/>
      <c r="V419" s="149"/>
      <c r="W419" s="149"/>
      <c r="X419" s="149"/>
      <c r="Y419" s="149"/>
      <c r="Z419" s="149"/>
      <c r="AA419" s="149"/>
      <c r="AB419" s="149"/>
      <c r="AC419" s="149"/>
      <c r="AD419" s="149"/>
      <c r="AE419" s="149"/>
      <c r="AF419" s="149"/>
      <c r="AG419" s="149"/>
      <c r="AH419" s="149"/>
      <c r="AI419" s="149"/>
    </row>
    <row r="420" spans="1:35" ht="60">
      <c r="A420" s="150" t="s">
        <v>49</v>
      </c>
      <c r="B420" s="152">
        <v>52</v>
      </c>
      <c r="C420" s="254" t="s">
        <v>32</v>
      </c>
      <c r="D420" s="151">
        <v>4124</v>
      </c>
      <c r="E420" s="227" t="s">
        <v>721</v>
      </c>
      <c r="F420" s="153" t="s">
        <v>687</v>
      </c>
      <c r="G420" s="883"/>
      <c r="H420" s="879"/>
      <c r="I420" s="880"/>
      <c r="J420" s="149"/>
      <c r="K420" s="149"/>
      <c r="L420" s="149"/>
      <c r="M420" s="149"/>
      <c r="N420" s="149"/>
      <c r="O420" s="149"/>
      <c r="P420" s="149"/>
      <c r="Q420" s="149"/>
      <c r="R420" s="149"/>
      <c r="S420" s="149"/>
      <c r="T420" s="149"/>
      <c r="U420" s="149"/>
      <c r="V420" s="149"/>
      <c r="W420" s="149"/>
      <c r="X420" s="149"/>
      <c r="Y420" s="149"/>
      <c r="Z420" s="149"/>
      <c r="AA420" s="149"/>
      <c r="AB420" s="149"/>
      <c r="AC420" s="149"/>
      <c r="AD420" s="149"/>
      <c r="AE420" s="149"/>
      <c r="AF420" s="149"/>
      <c r="AG420" s="149"/>
      <c r="AH420" s="149"/>
      <c r="AI420" s="149"/>
    </row>
    <row r="421" spans="1:35" ht="36">
      <c r="A421" s="150" t="s">
        <v>49</v>
      </c>
      <c r="B421" s="151">
        <v>52</v>
      </c>
      <c r="C421" s="254" t="s">
        <v>32</v>
      </c>
      <c r="D421" s="151">
        <v>4126</v>
      </c>
      <c r="E421" s="227" t="s">
        <v>757</v>
      </c>
      <c r="F421" s="153" t="s">
        <v>687</v>
      </c>
      <c r="G421" s="883"/>
      <c r="H421" s="879"/>
      <c r="I421" s="880"/>
      <c r="J421" s="149"/>
      <c r="K421" s="149"/>
      <c r="L421" s="149"/>
      <c r="M421" s="149"/>
      <c r="N421" s="149"/>
      <c r="O421" s="149"/>
      <c r="P421" s="149"/>
      <c r="Q421" s="149"/>
      <c r="R421" s="149"/>
      <c r="S421" s="149"/>
      <c r="T421" s="149"/>
      <c r="U421" s="149"/>
      <c r="V421" s="149"/>
      <c r="W421" s="149"/>
      <c r="X421" s="149"/>
      <c r="Y421" s="149"/>
      <c r="Z421" s="149"/>
      <c r="AA421" s="149"/>
      <c r="AB421" s="149"/>
      <c r="AC421" s="149"/>
      <c r="AD421" s="149"/>
      <c r="AE421" s="149"/>
      <c r="AF421" s="149"/>
      <c r="AG421" s="149"/>
      <c r="AH421" s="149"/>
      <c r="AI421" s="149"/>
    </row>
    <row r="422" spans="1:35" ht="24">
      <c r="A422" s="150" t="s">
        <v>49</v>
      </c>
      <c r="B422" s="151">
        <v>52</v>
      </c>
      <c r="C422" s="254" t="s">
        <v>32</v>
      </c>
      <c r="D422" s="151">
        <v>4212</v>
      </c>
      <c r="E422" s="227" t="s">
        <v>58</v>
      </c>
      <c r="F422" s="153" t="s">
        <v>687</v>
      </c>
      <c r="G422" s="883"/>
      <c r="H422" s="879"/>
      <c r="I422" s="880"/>
      <c r="J422" s="149"/>
      <c r="K422" s="149"/>
      <c r="L422" s="149"/>
      <c r="M422" s="149"/>
      <c r="N422" s="149"/>
      <c r="O422" s="149"/>
      <c r="P422" s="149"/>
      <c r="Q422" s="149"/>
      <c r="R422" s="149"/>
      <c r="S422" s="149"/>
      <c r="T422" s="149"/>
      <c r="U422" s="149"/>
      <c r="V422" s="149"/>
      <c r="W422" s="149"/>
      <c r="X422" s="149"/>
      <c r="Y422" s="149"/>
      <c r="Z422" s="149"/>
      <c r="AA422" s="149"/>
      <c r="AB422" s="149"/>
      <c r="AC422" s="149"/>
      <c r="AD422" s="149"/>
      <c r="AE422" s="149"/>
      <c r="AF422" s="149"/>
      <c r="AG422" s="149"/>
      <c r="AH422" s="149"/>
      <c r="AI422" s="149"/>
    </row>
    <row r="423" spans="1:35" ht="60">
      <c r="A423" s="150" t="s">
        <v>49</v>
      </c>
      <c r="B423" s="151">
        <v>52</v>
      </c>
      <c r="C423" s="254" t="s">
        <v>32</v>
      </c>
      <c r="D423" s="151">
        <v>4213</v>
      </c>
      <c r="E423" s="227" t="s">
        <v>758</v>
      </c>
      <c r="F423" s="153" t="s">
        <v>687</v>
      </c>
      <c r="G423" s="883"/>
      <c r="H423" s="879"/>
      <c r="I423" s="880"/>
      <c r="J423" s="149"/>
      <c r="K423" s="149"/>
      <c r="L423" s="149"/>
      <c r="M423" s="149"/>
      <c r="N423" s="149"/>
      <c r="O423" s="149"/>
      <c r="P423" s="149"/>
      <c r="Q423" s="149"/>
      <c r="R423" s="149"/>
      <c r="S423" s="149"/>
      <c r="T423" s="149"/>
      <c r="U423" s="149"/>
      <c r="V423" s="149"/>
      <c r="W423" s="149"/>
      <c r="X423" s="149"/>
      <c r="Y423" s="149"/>
      <c r="Z423" s="149"/>
      <c r="AA423" s="149"/>
      <c r="AB423" s="149"/>
      <c r="AC423" s="149"/>
      <c r="AD423" s="149"/>
      <c r="AE423" s="149"/>
      <c r="AF423" s="149"/>
      <c r="AG423" s="149"/>
      <c r="AH423" s="149"/>
      <c r="AI423" s="149"/>
    </row>
    <row r="424" spans="1:35" ht="36">
      <c r="A424" s="150" t="s">
        <v>49</v>
      </c>
      <c r="B424" s="151">
        <v>52</v>
      </c>
      <c r="C424" s="254" t="s">
        <v>32</v>
      </c>
      <c r="D424" s="151">
        <v>4214</v>
      </c>
      <c r="E424" s="227" t="s">
        <v>719</v>
      </c>
      <c r="F424" s="153" t="s">
        <v>687</v>
      </c>
      <c r="G424" s="883"/>
      <c r="H424" s="879"/>
      <c r="I424" s="880"/>
      <c r="J424" s="149"/>
      <c r="K424" s="149"/>
      <c r="L424" s="149"/>
      <c r="M424" s="149"/>
      <c r="N424" s="149"/>
      <c r="O424" s="149"/>
      <c r="P424" s="149"/>
      <c r="Q424" s="149"/>
      <c r="R424" s="149"/>
      <c r="S424" s="149"/>
      <c r="T424" s="149"/>
      <c r="U424" s="149"/>
      <c r="V424" s="149"/>
      <c r="W424" s="149"/>
      <c r="X424" s="149"/>
      <c r="Y424" s="149"/>
      <c r="Z424" s="149"/>
      <c r="AA424" s="149"/>
      <c r="AB424" s="149"/>
      <c r="AC424" s="149"/>
      <c r="AD424" s="149"/>
      <c r="AE424" s="149"/>
      <c r="AF424" s="149"/>
      <c r="AG424" s="149"/>
      <c r="AH424" s="149"/>
      <c r="AI424" s="149"/>
    </row>
    <row r="425" spans="1:35" ht="36">
      <c r="A425" s="150" t="s">
        <v>49</v>
      </c>
      <c r="B425" s="151">
        <v>52</v>
      </c>
      <c r="C425" s="254" t="s">
        <v>32</v>
      </c>
      <c r="D425" s="151">
        <v>4221</v>
      </c>
      <c r="E425" s="227" t="s">
        <v>63</v>
      </c>
      <c r="F425" s="153" t="s">
        <v>687</v>
      </c>
      <c r="G425" s="883"/>
      <c r="H425" s="879">
        <v>10055</v>
      </c>
      <c r="I425" s="880">
        <v>10055</v>
      </c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  <c r="T425" s="149"/>
      <c r="U425" s="149"/>
      <c r="V425" s="149"/>
      <c r="W425" s="149"/>
      <c r="X425" s="149"/>
      <c r="Y425" s="149"/>
      <c r="Z425" s="149"/>
      <c r="AA425" s="149"/>
      <c r="AB425" s="149"/>
      <c r="AC425" s="149"/>
      <c r="AD425" s="149"/>
      <c r="AE425" s="149"/>
      <c r="AF425" s="149"/>
      <c r="AG425" s="149"/>
      <c r="AH425" s="149"/>
      <c r="AI425" s="149"/>
    </row>
    <row r="426" spans="1:35" s="166" customFormat="1" ht="24">
      <c r="A426" s="150" t="s">
        <v>49</v>
      </c>
      <c r="B426" s="151">
        <v>52</v>
      </c>
      <c r="C426" s="254" t="s">
        <v>32</v>
      </c>
      <c r="D426" s="151">
        <v>4222</v>
      </c>
      <c r="E426" s="227" t="s">
        <v>72</v>
      </c>
      <c r="F426" s="153" t="s">
        <v>687</v>
      </c>
      <c r="G426" s="883"/>
      <c r="H426" s="879"/>
      <c r="I426" s="880"/>
      <c r="J426" s="165"/>
      <c r="K426" s="165"/>
      <c r="L426" s="165"/>
      <c r="M426" s="165"/>
      <c r="N426" s="165"/>
      <c r="O426" s="165"/>
      <c r="P426" s="165"/>
      <c r="Q426" s="165"/>
      <c r="R426" s="165"/>
      <c r="S426" s="165"/>
      <c r="T426" s="165"/>
      <c r="U426" s="165"/>
      <c r="V426" s="165"/>
      <c r="W426" s="165"/>
      <c r="X426" s="165"/>
      <c r="Y426" s="165"/>
      <c r="Z426" s="165"/>
      <c r="AA426" s="165"/>
      <c r="AB426" s="165"/>
      <c r="AC426" s="165"/>
      <c r="AD426" s="165"/>
      <c r="AE426" s="165"/>
      <c r="AF426" s="165"/>
      <c r="AG426" s="165"/>
      <c r="AH426" s="165"/>
      <c r="AI426" s="165"/>
    </row>
    <row r="427" spans="1:35" ht="36">
      <c r="A427" s="150" t="s">
        <v>49</v>
      </c>
      <c r="B427" s="151">
        <v>52</v>
      </c>
      <c r="C427" s="254" t="s">
        <v>32</v>
      </c>
      <c r="D427" s="151">
        <v>4223</v>
      </c>
      <c r="E427" s="227" t="s">
        <v>90</v>
      </c>
      <c r="F427" s="153" t="s">
        <v>687</v>
      </c>
      <c r="G427" s="883"/>
      <c r="H427" s="879">
        <f>17121.29+32473</f>
        <v>49594.29</v>
      </c>
      <c r="I427" s="880">
        <v>49594</v>
      </c>
      <c r="J427" s="149"/>
      <c r="K427" s="149"/>
      <c r="L427" s="149"/>
      <c r="M427" s="149"/>
      <c r="N427" s="149"/>
      <c r="O427" s="149"/>
      <c r="P427" s="149"/>
      <c r="Q427" s="149"/>
      <c r="R427" s="149"/>
      <c r="S427" s="149"/>
      <c r="T427" s="149"/>
      <c r="U427" s="149"/>
      <c r="V427" s="149"/>
      <c r="W427" s="149"/>
      <c r="X427" s="149"/>
      <c r="Y427" s="149"/>
      <c r="Z427" s="149"/>
      <c r="AA427" s="149"/>
      <c r="AB427" s="149"/>
      <c r="AC427" s="149"/>
      <c r="AD427" s="149"/>
      <c r="AE427" s="149"/>
      <c r="AF427" s="149"/>
      <c r="AG427" s="149"/>
      <c r="AH427" s="149"/>
      <c r="AI427" s="149"/>
    </row>
    <row r="428" spans="1:35" ht="36">
      <c r="A428" s="150" t="s">
        <v>49</v>
      </c>
      <c r="B428" s="151">
        <v>52</v>
      </c>
      <c r="C428" s="254" t="s">
        <v>32</v>
      </c>
      <c r="D428" s="151">
        <v>4224</v>
      </c>
      <c r="E428" s="227" t="s">
        <v>73</v>
      </c>
      <c r="F428" s="153" t="s">
        <v>687</v>
      </c>
      <c r="G428" s="883"/>
      <c r="H428" s="879"/>
      <c r="I428" s="880"/>
      <c r="J428" s="149"/>
      <c r="K428" s="149"/>
      <c r="L428" s="149"/>
      <c r="M428" s="149"/>
      <c r="N428" s="149"/>
      <c r="O428" s="149"/>
      <c r="P428" s="149"/>
      <c r="Q428" s="149"/>
      <c r="R428" s="149"/>
      <c r="S428" s="149"/>
      <c r="T428" s="149"/>
      <c r="U428" s="149"/>
      <c r="V428" s="149"/>
      <c r="W428" s="149"/>
      <c r="X428" s="149"/>
      <c r="Y428" s="149"/>
      <c r="Z428" s="149"/>
      <c r="AA428" s="149"/>
      <c r="AB428" s="149"/>
      <c r="AC428" s="149"/>
      <c r="AD428" s="149"/>
      <c r="AE428" s="149"/>
      <c r="AF428" s="149"/>
      <c r="AG428" s="149"/>
      <c r="AH428" s="149"/>
      <c r="AI428" s="149"/>
    </row>
    <row r="429" spans="1:35" ht="36">
      <c r="A429" s="150" t="s">
        <v>49</v>
      </c>
      <c r="B429" s="151">
        <v>52</v>
      </c>
      <c r="C429" s="254" t="s">
        <v>32</v>
      </c>
      <c r="D429" s="151">
        <v>4225</v>
      </c>
      <c r="E429" s="227" t="s">
        <v>85</v>
      </c>
      <c r="F429" s="153" t="s">
        <v>687</v>
      </c>
      <c r="G429" s="883"/>
      <c r="H429" s="879"/>
      <c r="I429" s="880"/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  <c r="T429" s="149"/>
      <c r="U429" s="149"/>
      <c r="V429" s="149"/>
      <c r="W429" s="149"/>
      <c r="X429" s="149"/>
      <c r="Y429" s="149"/>
      <c r="Z429" s="149"/>
      <c r="AA429" s="149"/>
      <c r="AB429" s="149"/>
      <c r="AC429" s="149"/>
      <c r="AD429" s="149"/>
      <c r="AE429" s="149"/>
      <c r="AF429" s="149"/>
      <c r="AG429" s="149"/>
      <c r="AH429" s="149"/>
      <c r="AI429" s="149"/>
    </row>
    <row r="430" spans="1:35" ht="24">
      <c r="A430" s="150" t="s">
        <v>49</v>
      </c>
      <c r="B430" s="151">
        <v>52</v>
      </c>
      <c r="C430" s="254" t="s">
        <v>32</v>
      </c>
      <c r="D430" s="151">
        <v>4226</v>
      </c>
      <c r="E430" s="227" t="s">
        <v>716</v>
      </c>
      <c r="F430" s="153" t="s">
        <v>687</v>
      </c>
      <c r="G430" s="883"/>
      <c r="H430" s="879"/>
      <c r="I430" s="880"/>
      <c r="J430" s="149"/>
      <c r="K430" s="149"/>
      <c r="L430" s="149"/>
      <c r="M430" s="149"/>
      <c r="N430" s="149"/>
      <c r="O430" s="149"/>
      <c r="P430" s="149"/>
      <c r="Q430" s="149"/>
      <c r="R430" s="149"/>
      <c r="S430" s="149"/>
      <c r="T430" s="149"/>
      <c r="U430" s="149"/>
      <c r="V430" s="149"/>
      <c r="W430" s="149"/>
      <c r="X430" s="149"/>
      <c r="Y430" s="149"/>
      <c r="Z430" s="149"/>
      <c r="AA430" s="149"/>
      <c r="AB430" s="149"/>
      <c r="AC430" s="149"/>
      <c r="AD430" s="149"/>
      <c r="AE430" s="149"/>
      <c r="AF430" s="149"/>
      <c r="AG430" s="149"/>
      <c r="AH430" s="149"/>
      <c r="AI430" s="149"/>
    </row>
    <row r="431" spans="1:35" ht="60">
      <c r="A431" s="150" t="s">
        <v>49</v>
      </c>
      <c r="B431" s="151">
        <v>52</v>
      </c>
      <c r="C431" s="254" t="s">
        <v>32</v>
      </c>
      <c r="D431" s="151">
        <v>4227</v>
      </c>
      <c r="E431" s="227" t="s">
        <v>93</v>
      </c>
      <c r="F431" s="153" t="s">
        <v>687</v>
      </c>
      <c r="G431" s="883"/>
      <c r="H431" s="879"/>
      <c r="I431" s="880"/>
      <c r="J431" s="149"/>
      <c r="K431" s="149"/>
      <c r="L431" s="149"/>
      <c r="M431" s="149"/>
      <c r="N431" s="149"/>
      <c r="O431" s="149"/>
      <c r="P431" s="149"/>
      <c r="Q431" s="149"/>
      <c r="R431" s="149"/>
      <c r="S431" s="149"/>
      <c r="T431" s="149"/>
      <c r="U431" s="149"/>
      <c r="V431" s="149"/>
      <c r="W431" s="149"/>
      <c r="X431" s="149"/>
      <c r="Y431" s="149"/>
      <c r="Z431" s="149"/>
      <c r="AA431" s="149"/>
      <c r="AB431" s="149"/>
      <c r="AC431" s="149"/>
      <c r="AD431" s="149"/>
      <c r="AE431" s="149"/>
      <c r="AF431" s="149"/>
      <c r="AG431" s="149"/>
      <c r="AH431" s="149"/>
      <c r="AI431" s="149"/>
    </row>
    <row r="432" spans="1:35" ht="48">
      <c r="A432" s="150" t="s">
        <v>49</v>
      </c>
      <c r="B432" s="151">
        <v>52</v>
      </c>
      <c r="C432" s="254" t="s">
        <v>32</v>
      </c>
      <c r="D432" s="151">
        <v>4231</v>
      </c>
      <c r="E432" s="227" t="s">
        <v>98</v>
      </c>
      <c r="F432" s="153" t="s">
        <v>687</v>
      </c>
      <c r="G432" s="883"/>
      <c r="H432" s="879"/>
      <c r="I432" s="880"/>
      <c r="J432" s="149"/>
      <c r="K432" s="149"/>
      <c r="L432" s="149"/>
      <c r="M432" s="149"/>
      <c r="N432" s="149"/>
      <c r="O432" s="149"/>
      <c r="P432" s="149"/>
      <c r="Q432" s="149"/>
      <c r="R432" s="149"/>
      <c r="S432" s="149"/>
      <c r="T432" s="149"/>
      <c r="U432" s="149"/>
      <c r="V432" s="149"/>
      <c r="W432" s="149"/>
      <c r="X432" s="149"/>
      <c r="Y432" s="149"/>
      <c r="Z432" s="149"/>
      <c r="AA432" s="149"/>
      <c r="AB432" s="149"/>
      <c r="AC432" s="149"/>
      <c r="AD432" s="149"/>
      <c r="AE432" s="149"/>
      <c r="AF432" s="149"/>
      <c r="AG432" s="149"/>
      <c r="AH432" s="149"/>
      <c r="AI432" s="149"/>
    </row>
    <row r="433" spans="1:35" ht="60">
      <c r="A433" s="150" t="s">
        <v>49</v>
      </c>
      <c r="B433" s="151">
        <v>52</v>
      </c>
      <c r="C433" s="254" t="s">
        <v>32</v>
      </c>
      <c r="D433" s="151">
        <v>4233</v>
      </c>
      <c r="E433" s="227" t="s">
        <v>759</v>
      </c>
      <c r="F433" s="153" t="s">
        <v>687</v>
      </c>
      <c r="G433" s="883"/>
      <c r="H433" s="879"/>
      <c r="I433" s="880"/>
      <c r="J433" s="149"/>
      <c r="K433" s="149"/>
      <c r="L433" s="149"/>
      <c r="M433" s="149"/>
      <c r="N433" s="149"/>
      <c r="O433" s="149"/>
      <c r="P433" s="149"/>
      <c r="Q433" s="149"/>
      <c r="R433" s="149"/>
      <c r="S433" s="149"/>
      <c r="T433" s="149"/>
      <c r="U433" s="149"/>
      <c r="V433" s="149"/>
      <c r="W433" s="149"/>
      <c r="X433" s="149"/>
      <c r="Y433" s="149"/>
      <c r="Z433" s="149"/>
      <c r="AA433" s="149"/>
      <c r="AB433" s="149"/>
      <c r="AC433" s="149"/>
      <c r="AD433" s="149"/>
      <c r="AE433" s="149"/>
      <c r="AF433" s="149"/>
      <c r="AG433" s="149"/>
      <c r="AH433" s="149"/>
      <c r="AI433" s="149"/>
    </row>
    <row r="434" spans="1:35" ht="24">
      <c r="A434" s="150" t="s">
        <v>49</v>
      </c>
      <c r="B434" s="151">
        <v>52</v>
      </c>
      <c r="C434" s="254" t="s">
        <v>32</v>
      </c>
      <c r="D434" s="151">
        <v>4241</v>
      </c>
      <c r="E434" s="227" t="s">
        <v>74</v>
      </c>
      <c r="F434" s="153" t="s">
        <v>687</v>
      </c>
      <c r="G434" s="883"/>
      <c r="H434" s="879"/>
      <c r="I434" s="880"/>
      <c r="J434" s="149"/>
      <c r="K434" s="149"/>
      <c r="L434" s="149"/>
      <c r="M434" s="149"/>
      <c r="N434" s="149"/>
      <c r="O434" s="149"/>
      <c r="P434" s="149"/>
      <c r="Q434" s="149"/>
      <c r="R434" s="149"/>
      <c r="S434" s="149"/>
      <c r="T434" s="149"/>
      <c r="U434" s="149"/>
      <c r="V434" s="149"/>
      <c r="W434" s="149"/>
      <c r="X434" s="149"/>
      <c r="Y434" s="149"/>
      <c r="Z434" s="149"/>
      <c r="AA434" s="149"/>
      <c r="AB434" s="149"/>
      <c r="AC434" s="149"/>
      <c r="AD434" s="149"/>
      <c r="AE434" s="149"/>
      <c r="AF434" s="149"/>
      <c r="AG434" s="149"/>
      <c r="AH434" s="149"/>
      <c r="AI434" s="149"/>
    </row>
    <row r="435" spans="1:35" ht="48">
      <c r="A435" s="150" t="s">
        <v>49</v>
      </c>
      <c r="B435" s="151">
        <v>52</v>
      </c>
      <c r="C435" s="254" t="s">
        <v>32</v>
      </c>
      <c r="D435" s="151">
        <v>4244</v>
      </c>
      <c r="E435" s="227" t="s">
        <v>760</v>
      </c>
      <c r="F435" s="153" t="s">
        <v>687</v>
      </c>
      <c r="G435" s="883"/>
      <c r="H435" s="879"/>
      <c r="I435" s="880"/>
      <c r="J435" s="149"/>
      <c r="K435" s="149"/>
      <c r="L435" s="149"/>
      <c r="M435" s="149"/>
      <c r="N435" s="149"/>
      <c r="O435" s="149"/>
      <c r="P435" s="149"/>
      <c r="Q435" s="149"/>
      <c r="R435" s="149"/>
      <c r="S435" s="149"/>
      <c r="T435" s="149"/>
      <c r="U435" s="149"/>
      <c r="V435" s="149"/>
      <c r="W435" s="149"/>
      <c r="X435" s="149"/>
      <c r="Y435" s="149"/>
      <c r="Z435" s="149"/>
      <c r="AA435" s="149"/>
      <c r="AB435" s="149"/>
      <c r="AC435" s="149"/>
      <c r="AD435" s="149"/>
      <c r="AE435" s="149"/>
      <c r="AF435" s="149"/>
      <c r="AG435" s="149"/>
      <c r="AH435" s="149"/>
      <c r="AI435" s="149"/>
    </row>
    <row r="436" spans="1:35" ht="36">
      <c r="A436" s="150" t="s">
        <v>49</v>
      </c>
      <c r="B436" s="151">
        <v>52</v>
      </c>
      <c r="C436" s="254" t="s">
        <v>32</v>
      </c>
      <c r="D436" s="151">
        <v>4262</v>
      </c>
      <c r="E436" s="227" t="s">
        <v>86</v>
      </c>
      <c r="F436" s="153" t="s">
        <v>687</v>
      </c>
      <c r="G436" s="883"/>
      <c r="H436" s="879"/>
      <c r="I436" s="880"/>
      <c r="J436" s="149"/>
      <c r="K436" s="149"/>
      <c r="L436" s="149"/>
      <c r="M436" s="149"/>
      <c r="N436" s="149"/>
      <c r="O436" s="149"/>
      <c r="P436" s="149"/>
      <c r="Q436" s="149"/>
      <c r="R436" s="149"/>
      <c r="S436" s="149"/>
      <c r="T436" s="149"/>
      <c r="U436" s="149"/>
      <c r="V436" s="149"/>
      <c r="W436" s="149"/>
      <c r="X436" s="149"/>
      <c r="Y436" s="149"/>
      <c r="Z436" s="149"/>
      <c r="AA436" s="149"/>
      <c r="AB436" s="149"/>
      <c r="AC436" s="149"/>
      <c r="AD436" s="149"/>
      <c r="AE436" s="149"/>
      <c r="AF436" s="149"/>
      <c r="AG436" s="149"/>
      <c r="AH436" s="149"/>
      <c r="AI436" s="149"/>
    </row>
    <row r="437" spans="1:35" ht="60">
      <c r="A437" s="150" t="s">
        <v>49</v>
      </c>
      <c r="B437" s="151">
        <v>52</v>
      </c>
      <c r="C437" s="254" t="s">
        <v>32</v>
      </c>
      <c r="D437" s="151">
        <v>4264</v>
      </c>
      <c r="E437" s="227" t="s">
        <v>761</v>
      </c>
      <c r="F437" s="153" t="s">
        <v>687</v>
      </c>
      <c r="G437" s="883"/>
      <c r="H437" s="879"/>
      <c r="I437" s="880"/>
      <c r="J437" s="149"/>
      <c r="K437" s="149"/>
      <c r="L437" s="149"/>
      <c r="M437" s="149"/>
      <c r="N437" s="149"/>
      <c r="O437" s="149"/>
      <c r="P437" s="149"/>
      <c r="Q437" s="149"/>
      <c r="R437" s="149"/>
      <c r="S437" s="149"/>
      <c r="T437" s="149"/>
      <c r="U437" s="149"/>
      <c r="V437" s="149"/>
      <c r="W437" s="149"/>
      <c r="X437" s="149"/>
      <c r="Y437" s="149"/>
      <c r="Z437" s="149"/>
      <c r="AA437" s="149"/>
      <c r="AB437" s="149"/>
      <c r="AC437" s="149"/>
      <c r="AD437" s="149"/>
      <c r="AE437" s="149"/>
      <c r="AF437" s="149"/>
      <c r="AG437" s="149"/>
      <c r="AH437" s="149"/>
      <c r="AI437" s="149"/>
    </row>
    <row r="438" spans="1:35" ht="60">
      <c r="A438" s="150" t="s">
        <v>49</v>
      </c>
      <c r="B438" s="151">
        <v>52</v>
      </c>
      <c r="C438" s="254" t="s">
        <v>32</v>
      </c>
      <c r="D438" s="151">
        <v>4312</v>
      </c>
      <c r="E438" s="227" t="s">
        <v>684</v>
      </c>
      <c r="F438" s="153" t="s">
        <v>687</v>
      </c>
      <c r="G438" s="883"/>
      <c r="H438" s="879"/>
      <c r="I438" s="880"/>
      <c r="J438" s="149"/>
      <c r="K438" s="149"/>
      <c r="L438" s="149"/>
      <c r="M438" s="149"/>
      <c r="N438" s="149"/>
      <c r="O438" s="149"/>
      <c r="P438" s="149"/>
      <c r="Q438" s="149"/>
      <c r="R438" s="149"/>
      <c r="S438" s="149"/>
      <c r="T438" s="149"/>
      <c r="U438" s="149"/>
      <c r="V438" s="149"/>
      <c r="W438" s="149"/>
      <c r="X438" s="149"/>
      <c r="Y438" s="149"/>
      <c r="Z438" s="149"/>
      <c r="AA438" s="149"/>
      <c r="AB438" s="149"/>
      <c r="AC438" s="149"/>
      <c r="AD438" s="149"/>
      <c r="AE438" s="149"/>
      <c r="AF438" s="149"/>
      <c r="AG438" s="149"/>
      <c r="AH438" s="149"/>
      <c r="AI438" s="149"/>
    </row>
    <row r="439" spans="1:35" ht="48">
      <c r="A439" s="150" t="s">
        <v>49</v>
      </c>
      <c r="B439" s="151">
        <v>52</v>
      </c>
      <c r="C439" s="254" t="s">
        <v>32</v>
      </c>
      <c r="D439" s="155">
        <v>4511</v>
      </c>
      <c r="E439" s="228" t="s">
        <v>91</v>
      </c>
      <c r="F439" s="153" t="s">
        <v>687</v>
      </c>
      <c r="G439" s="883"/>
      <c r="H439" s="879"/>
      <c r="I439" s="880"/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  <c r="T439" s="149"/>
      <c r="U439" s="149"/>
      <c r="V439" s="149"/>
      <c r="W439" s="149"/>
      <c r="X439" s="149"/>
      <c r="Y439" s="149"/>
      <c r="Z439" s="149"/>
      <c r="AA439" s="149"/>
      <c r="AB439" s="149"/>
      <c r="AC439" s="149"/>
      <c r="AD439" s="149"/>
      <c r="AE439" s="149"/>
      <c r="AF439" s="149"/>
      <c r="AG439" s="149"/>
      <c r="AH439" s="149"/>
      <c r="AI439" s="149"/>
    </row>
    <row r="440" spans="1:35" ht="48.75" thickBot="1">
      <c r="A440" s="154" t="s">
        <v>49</v>
      </c>
      <c r="B440" s="155">
        <v>52</v>
      </c>
      <c r="C440" s="255" t="s">
        <v>32</v>
      </c>
      <c r="D440" s="155">
        <v>4521</v>
      </c>
      <c r="E440" s="228" t="s">
        <v>95</v>
      </c>
      <c r="F440" s="156" t="s">
        <v>687</v>
      </c>
      <c r="G440" s="883"/>
      <c r="H440" s="879"/>
      <c r="I440" s="880"/>
      <c r="J440" s="149"/>
      <c r="K440" s="149"/>
      <c r="L440" s="149"/>
      <c r="M440" s="149"/>
      <c r="N440" s="149"/>
      <c r="O440" s="149"/>
      <c r="P440" s="149"/>
      <c r="Q440" s="149"/>
      <c r="R440" s="149"/>
      <c r="S440" s="149"/>
      <c r="T440" s="149"/>
      <c r="U440" s="149"/>
      <c r="V440" s="149"/>
      <c r="W440" s="149"/>
      <c r="X440" s="149"/>
      <c r="Y440" s="149"/>
      <c r="Z440" s="149"/>
      <c r="AA440" s="149"/>
      <c r="AB440" s="149"/>
      <c r="AC440" s="149"/>
      <c r="AD440" s="149"/>
      <c r="AE440" s="149"/>
      <c r="AF440" s="149"/>
      <c r="AG440" s="149"/>
      <c r="AH440" s="149"/>
      <c r="AI440" s="149"/>
    </row>
    <row r="441" spans="1:35" ht="12.75" thickBot="1">
      <c r="A441" s="157" t="s">
        <v>49</v>
      </c>
      <c r="B441" s="158">
        <v>52</v>
      </c>
      <c r="C441" s="256" t="s">
        <v>32</v>
      </c>
      <c r="D441" s="158"/>
      <c r="E441" s="229" t="s">
        <v>161</v>
      </c>
      <c r="F441" s="159" t="s">
        <v>687</v>
      </c>
      <c r="G441" s="881">
        <f>SUM(G372:G440)</f>
        <v>504622</v>
      </c>
      <c r="H441" s="876">
        <f>SUM(H372:H440)</f>
        <v>1527873.68</v>
      </c>
      <c r="I441" s="877">
        <f>SUM(I372:I440)</f>
        <v>1854657</v>
      </c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  <c r="T441" s="149"/>
      <c r="U441" s="149"/>
      <c r="V441" s="149"/>
      <c r="W441" s="149"/>
      <c r="X441" s="149"/>
      <c r="Y441" s="149"/>
      <c r="Z441" s="149"/>
      <c r="AA441" s="149"/>
      <c r="AB441" s="149"/>
      <c r="AC441" s="149"/>
      <c r="AD441" s="149"/>
      <c r="AE441" s="149"/>
      <c r="AF441" s="149"/>
      <c r="AG441" s="149"/>
      <c r="AH441" s="149"/>
      <c r="AI441" s="149"/>
    </row>
    <row r="442" spans="1:35" ht="24">
      <c r="A442" s="146" t="s">
        <v>49</v>
      </c>
      <c r="B442" s="147">
        <v>52</v>
      </c>
      <c r="C442" s="253" t="s">
        <v>32</v>
      </c>
      <c r="D442" s="147">
        <v>3111</v>
      </c>
      <c r="E442" s="226" t="s">
        <v>50</v>
      </c>
      <c r="F442" s="148" t="s">
        <v>686</v>
      </c>
      <c r="G442" s="570">
        <v>620000</v>
      </c>
      <c r="H442" s="879">
        <v>749387.01</v>
      </c>
      <c r="I442" s="880">
        <v>860000</v>
      </c>
      <c r="J442" s="149"/>
      <c r="K442" s="149"/>
      <c r="L442" s="149"/>
      <c r="M442" s="149"/>
      <c r="N442" s="149"/>
      <c r="O442" s="149"/>
      <c r="P442" s="149"/>
      <c r="Q442" s="149"/>
      <c r="R442" s="149"/>
      <c r="S442" s="149"/>
      <c r="T442" s="149"/>
      <c r="U442" s="149"/>
      <c r="V442" s="149"/>
      <c r="W442" s="149"/>
      <c r="X442" s="149"/>
      <c r="Y442" s="149"/>
      <c r="Z442" s="149"/>
      <c r="AA442" s="149"/>
      <c r="AB442" s="149"/>
      <c r="AC442" s="149"/>
      <c r="AD442" s="149"/>
      <c r="AE442" s="149"/>
      <c r="AF442" s="149"/>
      <c r="AG442" s="149"/>
      <c r="AH442" s="149"/>
      <c r="AI442" s="149"/>
    </row>
    <row r="443" spans="1:35" ht="24">
      <c r="A443" s="146" t="s">
        <v>49</v>
      </c>
      <c r="B443" s="147">
        <v>52</v>
      </c>
      <c r="C443" s="253" t="s">
        <v>32</v>
      </c>
      <c r="D443" s="147">
        <v>3112</v>
      </c>
      <c r="E443" s="226" t="s">
        <v>96</v>
      </c>
      <c r="F443" s="148" t="s">
        <v>686</v>
      </c>
      <c r="G443" s="503"/>
      <c r="H443" s="879"/>
      <c r="I443" s="880"/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  <c r="T443" s="149"/>
      <c r="U443" s="149"/>
      <c r="V443" s="149"/>
      <c r="W443" s="149"/>
      <c r="X443" s="149"/>
      <c r="Y443" s="149"/>
      <c r="Z443" s="149"/>
      <c r="AA443" s="149"/>
      <c r="AB443" s="149"/>
      <c r="AC443" s="149"/>
      <c r="AD443" s="149"/>
      <c r="AE443" s="149"/>
      <c r="AF443" s="149"/>
      <c r="AG443" s="149"/>
      <c r="AH443" s="149"/>
      <c r="AI443" s="149"/>
    </row>
    <row r="444" spans="1:35" ht="36">
      <c r="A444" s="146" t="s">
        <v>49</v>
      </c>
      <c r="B444" s="147">
        <v>52</v>
      </c>
      <c r="C444" s="253" t="s">
        <v>32</v>
      </c>
      <c r="D444" s="147">
        <v>3113</v>
      </c>
      <c r="E444" s="226" t="s">
        <v>751</v>
      </c>
      <c r="F444" s="148" t="s">
        <v>686</v>
      </c>
      <c r="G444" s="883"/>
      <c r="H444" s="879"/>
      <c r="I444" s="880"/>
      <c r="J444" s="149"/>
      <c r="K444" s="149"/>
      <c r="L444" s="149"/>
      <c r="M444" s="149"/>
      <c r="N444" s="149"/>
      <c r="O444" s="149"/>
      <c r="P444" s="149"/>
      <c r="Q444" s="149"/>
      <c r="R444" s="149"/>
      <c r="S444" s="149"/>
      <c r="T444" s="149"/>
      <c r="U444" s="149"/>
      <c r="V444" s="149"/>
      <c r="W444" s="149"/>
      <c r="X444" s="149"/>
      <c r="Y444" s="149"/>
      <c r="Z444" s="149"/>
      <c r="AA444" s="149"/>
      <c r="AB444" s="149"/>
      <c r="AC444" s="149"/>
      <c r="AD444" s="149"/>
      <c r="AE444" s="149"/>
      <c r="AF444" s="149"/>
      <c r="AG444" s="149"/>
      <c r="AH444" s="149"/>
      <c r="AI444" s="149"/>
    </row>
    <row r="445" spans="1:35" ht="36">
      <c r="A445" s="146" t="s">
        <v>49</v>
      </c>
      <c r="B445" s="147">
        <v>52</v>
      </c>
      <c r="C445" s="253" t="s">
        <v>32</v>
      </c>
      <c r="D445" s="147">
        <v>3114</v>
      </c>
      <c r="E445" s="226" t="s">
        <v>750</v>
      </c>
      <c r="F445" s="148" t="s">
        <v>686</v>
      </c>
      <c r="G445" s="883"/>
      <c r="H445" s="879"/>
      <c r="I445" s="880"/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  <c r="T445" s="149"/>
      <c r="U445" s="149"/>
      <c r="V445" s="149"/>
      <c r="W445" s="149"/>
      <c r="X445" s="149"/>
      <c r="Y445" s="149"/>
      <c r="Z445" s="149"/>
      <c r="AA445" s="149"/>
      <c r="AB445" s="149"/>
      <c r="AC445" s="149"/>
      <c r="AD445" s="149"/>
      <c r="AE445" s="149"/>
      <c r="AF445" s="149"/>
      <c r="AG445" s="149"/>
      <c r="AH445" s="149"/>
      <c r="AI445" s="149"/>
    </row>
    <row r="446" spans="1:35" ht="36">
      <c r="A446" s="146" t="s">
        <v>49</v>
      </c>
      <c r="B446" s="147">
        <v>52</v>
      </c>
      <c r="C446" s="253" t="s">
        <v>32</v>
      </c>
      <c r="D446" s="151">
        <v>3121</v>
      </c>
      <c r="E446" s="227" t="s">
        <v>51</v>
      </c>
      <c r="F446" s="148" t="s">
        <v>686</v>
      </c>
      <c r="G446" s="883"/>
      <c r="H446" s="879">
        <f>1663+9000</f>
        <v>10663</v>
      </c>
      <c r="I446" s="880">
        <v>22700</v>
      </c>
      <c r="J446" s="149"/>
      <c r="K446" s="149"/>
      <c r="L446" s="149"/>
      <c r="M446" s="149"/>
      <c r="N446" s="149"/>
      <c r="O446" s="149"/>
      <c r="P446" s="149"/>
      <c r="Q446" s="149"/>
      <c r="R446" s="149"/>
      <c r="S446" s="149"/>
      <c r="T446" s="149"/>
      <c r="U446" s="149"/>
      <c r="V446" s="149"/>
      <c r="W446" s="149"/>
      <c r="X446" s="149"/>
      <c r="Y446" s="149"/>
      <c r="Z446" s="149"/>
      <c r="AA446" s="149"/>
      <c r="AB446" s="149"/>
      <c r="AC446" s="149"/>
      <c r="AD446" s="149"/>
      <c r="AE446" s="149"/>
      <c r="AF446" s="149"/>
      <c r="AG446" s="149"/>
      <c r="AH446" s="149"/>
      <c r="AI446" s="149"/>
    </row>
    <row r="447" spans="1:35" ht="36">
      <c r="A447" s="146" t="s">
        <v>49</v>
      </c>
      <c r="B447" s="147">
        <v>52</v>
      </c>
      <c r="C447" s="253" t="s">
        <v>32</v>
      </c>
      <c r="D447" s="151">
        <v>3131</v>
      </c>
      <c r="E447" s="227" t="s">
        <v>752</v>
      </c>
      <c r="F447" s="148" t="s">
        <v>686</v>
      </c>
      <c r="G447" s="883"/>
      <c r="H447" s="879"/>
      <c r="I447" s="880"/>
      <c r="J447" s="149"/>
      <c r="K447" s="149"/>
      <c r="L447" s="149"/>
      <c r="M447" s="149"/>
      <c r="N447" s="149"/>
      <c r="O447" s="149"/>
      <c r="P447" s="149"/>
      <c r="Q447" s="149"/>
      <c r="R447" s="149"/>
      <c r="S447" s="149"/>
      <c r="T447" s="149"/>
      <c r="U447" s="149"/>
      <c r="V447" s="149"/>
      <c r="W447" s="149"/>
      <c r="X447" s="149"/>
      <c r="Y447" s="149"/>
      <c r="Z447" s="149"/>
      <c r="AA447" s="149"/>
      <c r="AB447" s="149"/>
      <c r="AC447" s="149"/>
      <c r="AD447" s="149"/>
      <c r="AE447" s="149"/>
      <c r="AF447" s="149"/>
      <c r="AG447" s="149"/>
      <c r="AH447" s="149"/>
      <c r="AI447" s="149"/>
    </row>
    <row r="448" spans="1:35" ht="48">
      <c r="A448" s="146" t="s">
        <v>49</v>
      </c>
      <c r="B448" s="147">
        <v>52</v>
      </c>
      <c r="C448" s="253" t="s">
        <v>32</v>
      </c>
      <c r="D448" s="151">
        <v>3132</v>
      </c>
      <c r="E448" s="227" t="s">
        <v>52</v>
      </c>
      <c r="F448" s="148" t="s">
        <v>686</v>
      </c>
      <c r="G448" s="503">
        <v>93616</v>
      </c>
      <c r="H448" s="879">
        <v>123648.88</v>
      </c>
      <c r="I448" s="880">
        <v>141900</v>
      </c>
      <c r="J448" s="149"/>
      <c r="K448" s="149"/>
      <c r="L448" s="149"/>
      <c r="M448" s="149"/>
      <c r="N448" s="149"/>
      <c r="O448" s="149"/>
      <c r="P448" s="149"/>
      <c r="Q448" s="149"/>
      <c r="R448" s="149"/>
      <c r="S448" s="149"/>
      <c r="T448" s="149"/>
      <c r="U448" s="149"/>
      <c r="V448" s="149"/>
      <c r="W448" s="149"/>
      <c r="X448" s="149"/>
      <c r="Y448" s="149"/>
      <c r="Z448" s="149"/>
      <c r="AA448" s="149"/>
      <c r="AB448" s="149"/>
      <c r="AC448" s="149"/>
      <c r="AD448" s="149"/>
      <c r="AE448" s="149"/>
      <c r="AF448" s="149"/>
      <c r="AG448" s="149"/>
      <c r="AH448" s="149"/>
      <c r="AI448" s="149"/>
    </row>
    <row r="449" spans="1:35" ht="72">
      <c r="A449" s="146" t="s">
        <v>49</v>
      </c>
      <c r="B449" s="147">
        <v>52</v>
      </c>
      <c r="C449" s="253" t="s">
        <v>32</v>
      </c>
      <c r="D449" s="151">
        <v>3133</v>
      </c>
      <c r="E449" s="227" t="s">
        <v>753</v>
      </c>
      <c r="F449" s="148" t="s">
        <v>686</v>
      </c>
      <c r="G449" s="883"/>
      <c r="H449" s="879"/>
      <c r="I449" s="880"/>
      <c r="J449" s="149"/>
      <c r="K449" s="149"/>
      <c r="L449" s="149"/>
      <c r="M449" s="149"/>
      <c r="N449" s="149"/>
      <c r="O449" s="149"/>
      <c r="P449" s="149"/>
      <c r="Q449" s="149"/>
      <c r="R449" s="149"/>
      <c r="S449" s="149"/>
      <c r="T449" s="149"/>
      <c r="U449" s="149"/>
      <c r="V449" s="149"/>
      <c r="W449" s="149"/>
      <c r="X449" s="149"/>
      <c r="Y449" s="149"/>
      <c r="Z449" s="149"/>
      <c r="AA449" s="149"/>
      <c r="AB449" s="149"/>
      <c r="AC449" s="149"/>
      <c r="AD449" s="149"/>
      <c r="AE449" s="149"/>
      <c r="AF449" s="149"/>
      <c r="AG449" s="149"/>
      <c r="AH449" s="149"/>
      <c r="AI449" s="149"/>
    </row>
    <row r="450" spans="1:35" ht="24">
      <c r="A450" s="146" t="s">
        <v>49</v>
      </c>
      <c r="B450" s="147">
        <v>52</v>
      </c>
      <c r="C450" s="253" t="s">
        <v>32</v>
      </c>
      <c r="D450" s="151">
        <v>3211</v>
      </c>
      <c r="E450" s="227" t="s">
        <v>60</v>
      </c>
      <c r="F450" s="148" t="s">
        <v>686</v>
      </c>
      <c r="G450" s="883"/>
      <c r="H450" s="879">
        <f>14646.24+22657.85+2269.5+6619.68+19468.8+22492.49+9824.32</f>
        <v>97978.880000000005</v>
      </c>
      <c r="I450" s="880">
        <v>97979</v>
      </c>
      <c r="J450" s="149"/>
      <c r="K450" s="149"/>
      <c r="L450" s="149"/>
      <c r="M450" s="149"/>
      <c r="N450" s="149"/>
      <c r="O450" s="149"/>
      <c r="P450" s="149"/>
      <c r="Q450" s="149"/>
      <c r="R450" s="149"/>
      <c r="S450" s="149"/>
      <c r="T450" s="149"/>
      <c r="U450" s="149"/>
      <c r="V450" s="149"/>
      <c r="W450" s="149"/>
      <c r="X450" s="149"/>
      <c r="Y450" s="149"/>
      <c r="Z450" s="149"/>
      <c r="AA450" s="149"/>
      <c r="AB450" s="149"/>
      <c r="AC450" s="149"/>
      <c r="AD450" s="149"/>
      <c r="AE450" s="149"/>
      <c r="AF450" s="149"/>
      <c r="AG450" s="149"/>
      <c r="AH450" s="149"/>
      <c r="AI450" s="149"/>
    </row>
    <row r="451" spans="1:35" ht="60">
      <c r="A451" s="146" t="s">
        <v>49</v>
      </c>
      <c r="B451" s="147">
        <v>52</v>
      </c>
      <c r="C451" s="253" t="s">
        <v>32</v>
      </c>
      <c r="D451" s="151">
        <v>3212</v>
      </c>
      <c r="E451" s="227" t="s">
        <v>754</v>
      </c>
      <c r="F451" s="148" t="s">
        <v>686</v>
      </c>
      <c r="G451" s="883"/>
      <c r="H451" s="879">
        <v>30167.88</v>
      </c>
      <c r="I451" s="880">
        <v>30168</v>
      </c>
      <c r="J451" s="149"/>
      <c r="K451" s="149"/>
      <c r="L451" s="149"/>
      <c r="M451" s="149"/>
      <c r="N451" s="149"/>
      <c r="O451" s="149"/>
      <c r="P451" s="149"/>
      <c r="Q451" s="149"/>
      <c r="R451" s="149"/>
      <c r="S451" s="149"/>
      <c r="T451" s="149"/>
      <c r="U451" s="149"/>
      <c r="V451" s="149"/>
      <c r="W451" s="149"/>
      <c r="X451" s="149"/>
      <c r="Y451" s="149"/>
      <c r="Z451" s="149"/>
      <c r="AA451" s="149"/>
      <c r="AB451" s="149"/>
      <c r="AC451" s="149"/>
      <c r="AD451" s="149"/>
      <c r="AE451" s="149"/>
      <c r="AF451" s="149"/>
      <c r="AG451" s="149"/>
      <c r="AH451" s="149"/>
      <c r="AI451" s="149"/>
    </row>
    <row r="452" spans="1:35" ht="36">
      <c r="A452" s="146" t="s">
        <v>49</v>
      </c>
      <c r="B452" s="147">
        <v>52</v>
      </c>
      <c r="C452" s="253" t="s">
        <v>32</v>
      </c>
      <c r="D452" s="151">
        <v>3213</v>
      </c>
      <c r="E452" s="227" t="s">
        <v>64</v>
      </c>
      <c r="F452" s="148" t="s">
        <v>686</v>
      </c>
      <c r="G452" s="883"/>
      <c r="H452" s="879">
        <v>6932.87</v>
      </c>
      <c r="I452" s="880">
        <v>6933</v>
      </c>
      <c r="J452" s="149"/>
      <c r="K452" s="149"/>
      <c r="L452" s="149"/>
      <c r="M452" s="149"/>
      <c r="N452" s="149"/>
      <c r="O452" s="149"/>
      <c r="P452" s="149"/>
      <c r="Q452" s="149"/>
      <c r="R452" s="149"/>
      <c r="S452" s="149"/>
      <c r="T452" s="149"/>
      <c r="U452" s="149"/>
      <c r="V452" s="149"/>
      <c r="W452" s="149"/>
      <c r="X452" s="149"/>
      <c r="Y452" s="149"/>
      <c r="Z452" s="149"/>
      <c r="AA452" s="149"/>
      <c r="AB452" s="149"/>
      <c r="AC452" s="149"/>
      <c r="AD452" s="149"/>
      <c r="AE452" s="149"/>
      <c r="AF452" s="149"/>
      <c r="AG452" s="149"/>
      <c r="AH452" s="149"/>
      <c r="AI452" s="149"/>
    </row>
    <row r="453" spans="1:35" ht="48">
      <c r="A453" s="146" t="s">
        <v>49</v>
      </c>
      <c r="B453" s="147">
        <v>52</v>
      </c>
      <c r="C453" s="253" t="s">
        <v>32</v>
      </c>
      <c r="D453" s="151">
        <v>3214</v>
      </c>
      <c r="E453" s="227" t="s">
        <v>75</v>
      </c>
      <c r="F453" s="148" t="s">
        <v>686</v>
      </c>
      <c r="G453" s="883"/>
      <c r="H453" s="879">
        <v>204</v>
      </c>
      <c r="I453" s="880">
        <v>204</v>
      </c>
      <c r="J453" s="149"/>
      <c r="K453" s="149"/>
      <c r="L453" s="149"/>
      <c r="M453" s="149"/>
      <c r="N453" s="149"/>
      <c r="O453" s="149"/>
      <c r="P453" s="149"/>
      <c r="Q453" s="149"/>
      <c r="R453" s="149"/>
      <c r="S453" s="149"/>
      <c r="T453" s="149"/>
      <c r="U453" s="149"/>
      <c r="V453" s="149"/>
      <c r="W453" s="149"/>
      <c r="X453" s="149"/>
      <c r="Y453" s="149"/>
      <c r="Z453" s="149"/>
      <c r="AA453" s="149"/>
      <c r="AB453" s="149"/>
      <c r="AC453" s="149"/>
      <c r="AD453" s="149"/>
      <c r="AE453" s="149"/>
      <c r="AF453" s="149"/>
      <c r="AG453" s="149"/>
      <c r="AH453" s="149"/>
      <c r="AI453" s="149"/>
    </row>
    <row r="454" spans="1:35" ht="60">
      <c r="A454" s="146" t="s">
        <v>49</v>
      </c>
      <c r="B454" s="147">
        <v>52</v>
      </c>
      <c r="C454" s="253" t="s">
        <v>32</v>
      </c>
      <c r="D454" s="151">
        <v>3221</v>
      </c>
      <c r="E454" s="227" t="s">
        <v>65</v>
      </c>
      <c r="F454" s="148" t="s">
        <v>686</v>
      </c>
      <c r="G454" s="883"/>
      <c r="H454" s="879">
        <f>1060+5948.71</f>
        <v>7008.71</v>
      </c>
      <c r="I454" s="880">
        <v>7009</v>
      </c>
      <c r="J454" s="149"/>
      <c r="K454" s="149"/>
      <c r="L454" s="149"/>
      <c r="M454" s="149"/>
      <c r="N454" s="149"/>
      <c r="O454" s="149"/>
      <c r="P454" s="149"/>
      <c r="Q454" s="149"/>
      <c r="R454" s="149"/>
      <c r="S454" s="149"/>
      <c r="T454" s="149"/>
      <c r="U454" s="149"/>
      <c r="V454" s="149"/>
      <c r="W454" s="149"/>
      <c r="X454" s="149"/>
      <c r="Y454" s="149"/>
      <c r="Z454" s="149"/>
      <c r="AA454" s="149"/>
      <c r="AB454" s="149"/>
      <c r="AC454" s="149"/>
      <c r="AD454" s="149"/>
      <c r="AE454" s="149"/>
      <c r="AF454" s="149"/>
      <c r="AG454" s="149"/>
      <c r="AH454" s="149"/>
      <c r="AI454" s="149"/>
    </row>
    <row r="455" spans="1:35" ht="24">
      <c r="A455" s="146" t="s">
        <v>49</v>
      </c>
      <c r="B455" s="147">
        <v>52</v>
      </c>
      <c r="C455" s="253" t="s">
        <v>32</v>
      </c>
      <c r="D455" s="151">
        <v>3222</v>
      </c>
      <c r="E455" s="227" t="s">
        <v>76</v>
      </c>
      <c r="F455" s="148" t="s">
        <v>686</v>
      </c>
      <c r="G455" s="883"/>
      <c r="H455" s="879"/>
      <c r="I455" s="880"/>
      <c r="J455" s="149"/>
      <c r="K455" s="149"/>
      <c r="L455" s="149"/>
      <c r="M455" s="149"/>
      <c r="N455" s="149"/>
      <c r="O455" s="149"/>
      <c r="P455" s="149"/>
      <c r="Q455" s="149"/>
      <c r="R455" s="149"/>
      <c r="S455" s="149"/>
      <c r="T455" s="149"/>
      <c r="U455" s="149"/>
      <c r="V455" s="149"/>
      <c r="W455" s="149"/>
      <c r="X455" s="149"/>
      <c r="Y455" s="149"/>
      <c r="Z455" s="149"/>
      <c r="AA455" s="149"/>
      <c r="AB455" s="149"/>
      <c r="AC455" s="149"/>
      <c r="AD455" s="149"/>
      <c r="AE455" s="149"/>
      <c r="AF455" s="149"/>
      <c r="AG455" s="149"/>
      <c r="AH455" s="149"/>
      <c r="AI455" s="149"/>
    </row>
    <row r="456" spans="1:35" ht="24">
      <c r="A456" s="146" t="s">
        <v>49</v>
      </c>
      <c r="B456" s="147">
        <v>52</v>
      </c>
      <c r="C456" s="253" t="s">
        <v>32</v>
      </c>
      <c r="D456" s="151">
        <v>3223</v>
      </c>
      <c r="E456" s="227" t="s">
        <v>77</v>
      </c>
      <c r="F456" s="148" t="s">
        <v>686</v>
      </c>
      <c r="G456" s="883"/>
      <c r="H456" s="879">
        <f>543.95</f>
        <v>543.95000000000005</v>
      </c>
      <c r="I456" s="880">
        <v>544</v>
      </c>
      <c r="J456" s="149"/>
      <c r="K456" s="149"/>
      <c r="L456" s="149"/>
      <c r="M456" s="149"/>
      <c r="N456" s="149"/>
      <c r="O456" s="149"/>
      <c r="P456" s="149"/>
      <c r="Q456" s="149"/>
      <c r="R456" s="149"/>
      <c r="S456" s="149"/>
      <c r="T456" s="149"/>
      <c r="U456" s="149"/>
      <c r="V456" s="149"/>
      <c r="W456" s="149"/>
      <c r="X456" s="149"/>
      <c r="Y456" s="149"/>
      <c r="Z456" s="149"/>
      <c r="AA456" s="149"/>
      <c r="AB456" s="149"/>
      <c r="AC456" s="149"/>
      <c r="AD456" s="149"/>
      <c r="AE456" s="149"/>
      <c r="AF456" s="149"/>
      <c r="AG456" s="149"/>
      <c r="AH456" s="149"/>
      <c r="AI456" s="149"/>
    </row>
    <row r="457" spans="1:35" ht="60">
      <c r="A457" s="146" t="s">
        <v>49</v>
      </c>
      <c r="B457" s="147">
        <v>52</v>
      </c>
      <c r="C457" s="253" t="s">
        <v>32</v>
      </c>
      <c r="D457" s="151">
        <v>3224</v>
      </c>
      <c r="E457" s="227" t="s">
        <v>61</v>
      </c>
      <c r="F457" s="148" t="s">
        <v>686</v>
      </c>
      <c r="G457" s="883"/>
      <c r="H457" s="879">
        <v>130.80000000000001</v>
      </c>
      <c r="I457" s="880">
        <v>131</v>
      </c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  <c r="T457" s="149"/>
      <c r="U457" s="149"/>
      <c r="V457" s="149"/>
      <c r="W457" s="149"/>
      <c r="X457" s="149"/>
      <c r="Y457" s="149"/>
      <c r="Z457" s="149"/>
      <c r="AA457" s="149"/>
      <c r="AB457" s="149"/>
      <c r="AC457" s="149"/>
      <c r="AD457" s="149"/>
      <c r="AE457" s="149"/>
      <c r="AF457" s="149"/>
      <c r="AG457" s="149"/>
      <c r="AH457" s="149"/>
      <c r="AI457" s="149"/>
    </row>
    <row r="458" spans="1:35" ht="36">
      <c r="A458" s="146" t="s">
        <v>49</v>
      </c>
      <c r="B458" s="147">
        <v>52</v>
      </c>
      <c r="C458" s="253" t="s">
        <v>32</v>
      </c>
      <c r="D458" s="151">
        <v>3225</v>
      </c>
      <c r="E458" s="227" t="s">
        <v>78</v>
      </c>
      <c r="F458" s="148" t="s">
        <v>686</v>
      </c>
      <c r="G458" s="883"/>
      <c r="H458" s="879"/>
      <c r="I458" s="880"/>
      <c r="J458" s="149"/>
      <c r="K458" s="149"/>
      <c r="L458" s="149"/>
      <c r="M458" s="149"/>
      <c r="N458" s="149"/>
      <c r="O458" s="149"/>
      <c r="P458" s="149"/>
      <c r="Q458" s="149"/>
      <c r="R458" s="149"/>
      <c r="S458" s="149"/>
      <c r="T458" s="149"/>
      <c r="U458" s="149"/>
      <c r="V458" s="149"/>
      <c r="W458" s="149"/>
      <c r="X458" s="149"/>
      <c r="Y458" s="149"/>
      <c r="Z458" s="149"/>
      <c r="AA458" s="149"/>
      <c r="AB458" s="149"/>
      <c r="AC458" s="149"/>
      <c r="AD458" s="149"/>
      <c r="AE458" s="149"/>
      <c r="AF458" s="149"/>
      <c r="AG458" s="149"/>
      <c r="AH458" s="149"/>
      <c r="AI458" s="149"/>
    </row>
    <row r="459" spans="1:35" ht="60">
      <c r="A459" s="146" t="s">
        <v>49</v>
      </c>
      <c r="B459" s="147">
        <v>52</v>
      </c>
      <c r="C459" s="253" t="s">
        <v>32</v>
      </c>
      <c r="D459" s="151">
        <v>3227</v>
      </c>
      <c r="E459" s="227" t="s">
        <v>89</v>
      </c>
      <c r="F459" s="148" t="s">
        <v>686</v>
      </c>
      <c r="G459" s="883"/>
      <c r="H459" s="879"/>
      <c r="I459" s="880"/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  <c r="T459" s="149"/>
      <c r="U459" s="149"/>
      <c r="V459" s="149"/>
      <c r="W459" s="149"/>
      <c r="X459" s="149"/>
      <c r="Y459" s="149"/>
      <c r="Z459" s="149"/>
      <c r="AA459" s="149"/>
      <c r="AB459" s="149"/>
      <c r="AC459" s="149"/>
      <c r="AD459" s="149"/>
      <c r="AE459" s="149"/>
      <c r="AF459" s="149"/>
      <c r="AG459" s="149"/>
      <c r="AH459" s="149"/>
      <c r="AI459" s="149"/>
    </row>
    <row r="460" spans="1:35" ht="48">
      <c r="A460" s="146" t="s">
        <v>49</v>
      </c>
      <c r="B460" s="147">
        <v>52</v>
      </c>
      <c r="C460" s="253" t="s">
        <v>32</v>
      </c>
      <c r="D460" s="151">
        <v>3231</v>
      </c>
      <c r="E460" s="227" t="s">
        <v>79</v>
      </c>
      <c r="F460" s="148" t="s">
        <v>686</v>
      </c>
      <c r="G460" s="883"/>
      <c r="H460" s="879">
        <f>3372.53+164780</f>
        <v>168152.53</v>
      </c>
      <c r="I460" s="880">
        <v>168153</v>
      </c>
      <c r="J460" s="149"/>
      <c r="K460" s="149"/>
      <c r="L460" s="149"/>
      <c r="M460" s="149"/>
      <c r="N460" s="149"/>
      <c r="O460" s="149"/>
      <c r="P460" s="149"/>
      <c r="Q460" s="149"/>
      <c r="R460" s="149"/>
      <c r="S460" s="149"/>
      <c r="T460" s="149"/>
      <c r="U460" s="149"/>
      <c r="V460" s="149"/>
      <c r="W460" s="149"/>
      <c r="X460" s="149"/>
      <c r="Y460" s="149"/>
      <c r="Z460" s="149"/>
      <c r="AA460" s="149"/>
      <c r="AB460" s="149"/>
      <c r="AC460" s="149"/>
      <c r="AD460" s="149"/>
      <c r="AE460" s="149"/>
      <c r="AF460" s="149"/>
      <c r="AG460" s="149"/>
      <c r="AH460" s="149"/>
      <c r="AI460" s="149"/>
    </row>
    <row r="461" spans="1:35" ht="48">
      <c r="A461" s="146" t="s">
        <v>49</v>
      </c>
      <c r="B461" s="147">
        <v>52</v>
      </c>
      <c r="C461" s="253" t="s">
        <v>32</v>
      </c>
      <c r="D461" s="151">
        <v>3232</v>
      </c>
      <c r="E461" s="227" t="s">
        <v>80</v>
      </c>
      <c r="F461" s="148" t="s">
        <v>686</v>
      </c>
      <c r="G461" s="883"/>
      <c r="H461" s="879">
        <f>13562.5+413.04</f>
        <v>13975.54</v>
      </c>
      <c r="I461" s="880">
        <v>13976</v>
      </c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  <c r="T461" s="149"/>
      <c r="U461" s="149"/>
      <c r="V461" s="149"/>
      <c r="W461" s="149"/>
      <c r="X461" s="149"/>
      <c r="Y461" s="149"/>
      <c r="Z461" s="149"/>
      <c r="AA461" s="149"/>
      <c r="AB461" s="149"/>
      <c r="AC461" s="149"/>
      <c r="AD461" s="149"/>
      <c r="AE461" s="149"/>
      <c r="AF461" s="149"/>
      <c r="AG461" s="149"/>
      <c r="AH461" s="149"/>
      <c r="AI461" s="149"/>
    </row>
    <row r="462" spans="1:35" ht="36">
      <c r="A462" s="146" t="s">
        <v>49</v>
      </c>
      <c r="B462" s="147">
        <v>52</v>
      </c>
      <c r="C462" s="253" t="s">
        <v>32</v>
      </c>
      <c r="D462" s="151">
        <v>3233</v>
      </c>
      <c r="E462" s="227" t="s">
        <v>81</v>
      </c>
      <c r="F462" s="148" t="s">
        <v>686</v>
      </c>
      <c r="G462" s="883"/>
      <c r="H462" s="879">
        <v>14593.56</v>
      </c>
      <c r="I462" s="880">
        <v>14594</v>
      </c>
      <c r="J462" s="149"/>
      <c r="K462" s="149"/>
      <c r="L462" s="149"/>
      <c r="M462" s="149"/>
      <c r="N462" s="149"/>
      <c r="O462" s="149"/>
      <c r="P462" s="149"/>
      <c r="Q462" s="149"/>
      <c r="R462" s="149"/>
      <c r="S462" s="149"/>
      <c r="T462" s="149"/>
      <c r="U462" s="149"/>
      <c r="V462" s="149"/>
      <c r="W462" s="149"/>
      <c r="X462" s="149"/>
      <c r="Y462" s="149"/>
      <c r="Z462" s="149"/>
      <c r="AA462" s="149"/>
      <c r="AB462" s="149"/>
      <c r="AC462" s="149"/>
      <c r="AD462" s="149"/>
      <c r="AE462" s="149"/>
      <c r="AF462" s="149"/>
      <c r="AG462" s="149"/>
      <c r="AH462" s="149"/>
      <c r="AI462" s="149"/>
    </row>
    <row r="463" spans="1:35" ht="24">
      <c r="A463" s="146" t="s">
        <v>49</v>
      </c>
      <c r="B463" s="147">
        <v>52</v>
      </c>
      <c r="C463" s="253" t="s">
        <v>32</v>
      </c>
      <c r="D463" s="151">
        <v>3234</v>
      </c>
      <c r="E463" s="227" t="s">
        <v>87</v>
      </c>
      <c r="F463" s="148" t="s">
        <v>686</v>
      </c>
      <c r="G463" s="883"/>
      <c r="H463" s="879"/>
      <c r="I463" s="880"/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  <c r="T463" s="149"/>
      <c r="U463" s="149"/>
      <c r="V463" s="149"/>
      <c r="W463" s="149"/>
      <c r="X463" s="149"/>
      <c r="Y463" s="149"/>
      <c r="Z463" s="149"/>
      <c r="AA463" s="149"/>
      <c r="AB463" s="149"/>
      <c r="AC463" s="149"/>
      <c r="AD463" s="149"/>
      <c r="AE463" s="149"/>
      <c r="AF463" s="149"/>
      <c r="AG463" s="149"/>
      <c r="AH463" s="149"/>
      <c r="AI463" s="149"/>
    </row>
    <row r="464" spans="1:35" ht="24">
      <c r="A464" s="146" t="s">
        <v>49</v>
      </c>
      <c r="B464" s="147">
        <v>52</v>
      </c>
      <c r="C464" s="253" t="s">
        <v>32</v>
      </c>
      <c r="D464" s="151">
        <v>3235</v>
      </c>
      <c r="E464" s="227" t="s">
        <v>88</v>
      </c>
      <c r="F464" s="148" t="s">
        <v>686</v>
      </c>
      <c r="G464" s="883"/>
      <c r="H464" s="879">
        <v>517.66999999999996</v>
      </c>
      <c r="I464" s="880">
        <v>518</v>
      </c>
      <c r="J464" s="149"/>
      <c r="K464" s="149"/>
      <c r="L464" s="149"/>
      <c r="M464" s="149"/>
      <c r="N464" s="149"/>
      <c r="O464" s="149"/>
      <c r="P464" s="149"/>
      <c r="Q464" s="149"/>
      <c r="R464" s="149"/>
      <c r="S464" s="149"/>
      <c r="T464" s="149"/>
      <c r="U464" s="149"/>
      <c r="V464" s="149"/>
      <c r="W464" s="149"/>
      <c r="X464" s="149"/>
      <c r="Y464" s="149"/>
      <c r="Z464" s="149"/>
      <c r="AA464" s="149"/>
      <c r="AB464" s="149"/>
      <c r="AC464" s="149"/>
      <c r="AD464" s="149"/>
      <c r="AE464" s="149"/>
      <c r="AF464" s="149"/>
      <c r="AG464" s="149"/>
      <c r="AH464" s="149"/>
      <c r="AI464" s="149"/>
    </row>
    <row r="465" spans="1:35" ht="48">
      <c r="A465" s="146" t="s">
        <v>49</v>
      </c>
      <c r="B465" s="147">
        <v>52</v>
      </c>
      <c r="C465" s="253" t="s">
        <v>32</v>
      </c>
      <c r="D465" s="151">
        <v>3236</v>
      </c>
      <c r="E465" s="227" t="s">
        <v>54</v>
      </c>
      <c r="F465" s="148" t="s">
        <v>686</v>
      </c>
      <c r="G465" s="883"/>
      <c r="H465" s="879"/>
      <c r="I465" s="880"/>
      <c r="J465" s="149"/>
      <c r="K465" s="149"/>
      <c r="L465" s="149"/>
      <c r="M465" s="149"/>
      <c r="N465" s="149"/>
      <c r="O465" s="149"/>
      <c r="P465" s="149"/>
      <c r="Q465" s="149"/>
      <c r="R465" s="149"/>
      <c r="S465" s="149"/>
      <c r="T465" s="149"/>
      <c r="U465" s="149"/>
      <c r="V465" s="149"/>
      <c r="W465" s="149"/>
      <c r="X465" s="149"/>
      <c r="Y465" s="149"/>
      <c r="Z465" s="149"/>
      <c r="AA465" s="149"/>
      <c r="AB465" s="149"/>
      <c r="AC465" s="149"/>
      <c r="AD465" s="149"/>
      <c r="AE465" s="149"/>
      <c r="AF465" s="149"/>
      <c r="AG465" s="149"/>
      <c r="AH465" s="149"/>
      <c r="AI465" s="149"/>
    </row>
    <row r="466" spans="1:35" ht="36">
      <c r="A466" s="146" t="s">
        <v>49</v>
      </c>
      <c r="B466" s="147">
        <v>52</v>
      </c>
      <c r="C466" s="253" t="s">
        <v>32</v>
      </c>
      <c r="D466" s="151">
        <v>3237</v>
      </c>
      <c r="E466" s="227" t="s">
        <v>62</v>
      </c>
      <c r="F466" s="148" t="s">
        <v>686</v>
      </c>
      <c r="G466" s="883"/>
      <c r="H466" s="879">
        <f>2573.3+300296.19+13046.4+61100</f>
        <v>377015.89</v>
      </c>
      <c r="I466" s="880">
        <v>377016</v>
      </c>
      <c r="J466" s="149"/>
      <c r="K466" s="149"/>
      <c r="L466" s="149"/>
      <c r="M466" s="149"/>
      <c r="N466" s="149"/>
      <c r="O466" s="149"/>
      <c r="P466" s="149"/>
      <c r="Q466" s="149"/>
      <c r="R466" s="149"/>
      <c r="S466" s="149"/>
      <c r="T466" s="149"/>
      <c r="U466" s="149"/>
      <c r="V466" s="149"/>
      <c r="W466" s="149"/>
      <c r="X466" s="149"/>
      <c r="Y466" s="149"/>
      <c r="Z466" s="149"/>
      <c r="AA466" s="149"/>
      <c r="AB466" s="149"/>
      <c r="AC466" s="149"/>
      <c r="AD466" s="149"/>
      <c r="AE466" s="149"/>
      <c r="AF466" s="149"/>
      <c r="AG466" s="149"/>
      <c r="AH466" s="149"/>
      <c r="AI466" s="149"/>
    </row>
    <row r="467" spans="1:35" ht="24">
      <c r="A467" s="146" t="s">
        <v>49</v>
      </c>
      <c r="B467" s="147">
        <v>52</v>
      </c>
      <c r="C467" s="253" t="s">
        <v>32</v>
      </c>
      <c r="D467" s="151">
        <v>3238</v>
      </c>
      <c r="E467" s="227" t="s">
        <v>82</v>
      </c>
      <c r="F467" s="148" t="s">
        <v>686</v>
      </c>
      <c r="G467" s="883"/>
      <c r="H467" s="879">
        <f>11125</f>
        <v>11125</v>
      </c>
      <c r="I467" s="880">
        <v>11125</v>
      </c>
      <c r="J467" s="149"/>
      <c r="K467" s="149"/>
      <c r="L467" s="149"/>
      <c r="M467" s="149"/>
      <c r="N467" s="149"/>
      <c r="O467" s="149"/>
      <c r="P467" s="149"/>
      <c r="Q467" s="149"/>
      <c r="R467" s="149"/>
      <c r="S467" s="149"/>
      <c r="T467" s="149"/>
      <c r="U467" s="149"/>
      <c r="V467" s="149"/>
      <c r="W467" s="149"/>
      <c r="X467" s="149"/>
      <c r="Y467" s="149"/>
      <c r="Z467" s="149"/>
      <c r="AA467" s="149"/>
      <c r="AB467" s="149"/>
      <c r="AC467" s="149"/>
      <c r="AD467" s="149"/>
      <c r="AE467" s="149"/>
      <c r="AF467" s="149"/>
      <c r="AG467" s="149"/>
      <c r="AH467" s="149"/>
      <c r="AI467" s="149"/>
    </row>
    <row r="468" spans="1:35" ht="24">
      <c r="A468" s="146" t="s">
        <v>49</v>
      </c>
      <c r="B468" s="147">
        <v>52</v>
      </c>
      <c r="C468" s="253" t="s">
        <v>32</v>
      </c>
      <c r="D468" s="151">
        <v>3239</v>
      </c>
      <c r="E468" s="227" t="s">
        <v>66</v>
      </c>
      <c r="F468" s="148" t="s">
        <v>686</v>
      </c>
      <c r="G468" s="883"/>
      <c r="H468" s="879">
        <f>67882.95</f>
        <v>67882.95</v>
      </c>
      <c r="I468" s="880">
        <v>90000</v>
      </c>
      <c r="J468" s="149"/>
      <c r="K468" s="149"/>
      <c r="L468" s="149"/>
      <c r="M468" s="149"/>
      <c r="N468" s="149"/>
      <c r="O468" s="149"/>
      <c r="P468" s="149"/>
      <c r="Q468" s="149"/>
      <c r="R468" s="149"/>
      <c r="S468" s="149"/>
      <c r="T468" s="149"/>
      <c r="U468" s="149"/>
      <c r="V468" s="149"/>
      <c r="W468" s="149"/>
      <c r="X468" s="149"/>
      <c r="Y468" s="149"/>
      <c r="Z468" s="149"/>
      <c r="AA468" s="149"/>
      <c r="AB468" s="149"/>
      <c r="AC468" s="149"/>
      <c r="AD468" s="149"/>
      <c r="AE468" s="149"/>
      <c r="AF468" s="149"/>
      <c r="AG468" s="149"/>
      <c r="AH468" s="149"/>
      <c r="AI468" s="149"/>
    </row>
    <row r="469" spans="1:35" ht="60">
      <c r="A469" s="146" t="s">
        <v>49</v>
      </c>
      <c r="B469" s="147">
        <v>52</v>
      </c>
      <c r="C469" s="253" t="s">
        <v>32</v>
      </c>
      <c r="D469" s="151">
        <v>3241</v>
      </c>
      <c r="E469" s="227" t="s">
        <v>67</v>
      </c>
      <c r="F469" s="148" t="s">
        <v>686</v>
      </c>
      <c r="G469" s="883"/>
      <c r="H469" s="879">
        <f>11742.92+32923.97</f>
        <v>44666.89</v>
      </c>
      <c r="I469" s="880">
        <v>44667</v>
      </c>
      <c r="J469" s="149"/>
      <c r="K469" s="149"/>
      <c r="L469" s="149"/>
      <c r="M469" s="149"/>
      <c r="N469" s="149"/>
      <c r="O469" s="149"/>
      <c r="P469" s="149"/>
      <c r="Q469" s="149"/>
      <c r="R469" s="149"/>
      <c r="S469" s="149"/>
      <c r="T469" s="149"/>
      <c r="U469" s="149"/>
      <c r="V469" s="149"/>
      <c r="W469" s="149"/>
      <c r="X469" s="149"/>
      <c r="Y469" s="149"/>
      <c r="Z469" s="149"/>
      <c r="AA469" s="149"/>
      <c r="AB469" s="149"/>
      <c r="AC469" s="149"/>
      <c r="AD469" s="149"/>
      <c r="AE469" s="149"/>
      <c r="AF469" s="149"/>
      <c r="AG469" s="149"/>
      <c r="AH469" s="149"/>
      <c r="AI469" s="149"/>
    </row>
    <row r="470" spans="1:35" ht="60">
      <c r="A470" s="146" t="s">
        <v>49</v>
      </c>
      <c r="B470" s="147">
        <v>52</v>
      </c>
      <c r="C470" s="253" t="s">
        <v>32</v>
      </c>
      <c r="D470" s="151">
        <v>3291</v>
      </c>
      <c r="E470" s="227" t="s">
        <v>713</v>
      </c>
      <c r="F470" s="148" t="s">
        <v>686</v>
      </c>
      <c r="G470" s="883"/>
      <c r="H470" s="879"/>
      <c r="I470" s="880"/>
      <c r="J470" s="149"/>
      <c r="K470" s="149"/>
      <c r="L470" s="149"/>
      <c r="M470" s="149"/>
      <c r="N470" s="149"/>
      <c r="O470" s="149"/>
      <c r="P470" s="149"/>
      <c r="Q470" s="149"/>
      <c r="R470" s="149"/>
      <c r="S470" s="149"/>
      <c r="T470" s="149"/>
      <c r="U470" s="149"/>
      <c r="V470" s="149"/>
      <c r="W470" s="149"/>
      <c r="X470" s="149"/>
      <c r="Y470" s="149"/>
      <c r="Z470" s="149"/>
      <c r="AA470" s="149"/>
      <c r="AB470" s="149"/>
      <c r="AC470" s="149"/>
      <c r="AD470" s="149"/>
      <c r="AE470" s="149"/>
      <c r="AF470" s="149"/>
      <c r="AG470" s="149"/>
      <c r="AH470" s="149"/>
      <c r="AI470" s="149"/>
    </row>
    <row r="471" spans="1:35" ht="24">
      <c r="A471" s="150" t="s">
        <v>49</v>
      </c>
      <c r="B471" s="151">
        <v>52</v>
      </c>
      <c r="C471" s="254" t="s">
        <v>32</v>
      </c>
      <c r="D471" s="151">
        <v>3292</v>
      </c>
      <c r="E471" s="227" t="s">
        <v>59</v>
      </c>
      <c r="F471" s="153" t="s">
        <v>686</v>
      </c>
      <c r="G471" s="883"/>
      <c r="H471" s="879"/>
      <c r="I471" s="880"/>
      <c r="J471" s="149"/>
      <c r="K471" s="149"/>
      <c r="L471" s="149"/>
      <c r="M471" s="149"/>
      <c r="N471" s="149"/>
      <c r="O471" s="149"/>
      <c r="P471" s="149"/>
      <c r="Q471" s="149"/>
      <c r="R471" s="149"/>
      <c r="S471" s="149"/>
      <c r="T471" s="149"/>
      <c r="U471" s="149"/>
      <c r="V471" s="149"/>
      <c r="W471" s="149"/>
      <c r="X471" s="149"/>
      <c r="Y471" s="149"/>
      <c r="Z471" s="149"/>
      <c r="AA471" s="149"/>
      <c r="AB471" s="149"/>
      <c r="AC471" s="149"/>
      <c r="AD471" s="149"/>
      <c r="AE471" s="149"/>
      <c r="AF471" s="149"/>
      <c r="AG471" s="149"/>
      <c r="AH471" s="149"/>
      <c r="AI471" s="149"/>
    </row>
    <row r="472" spans="1:35" ht="24">
      <c r="A472" s="150" t="s">
        <v>49</v>
      </c>
      <c r="B472" s="151">
        <v>52</v>
      </c>
      <c r="C472" s="254" t="s">
        <v>32</v>
      </c>
      <c r="D472" s="151">
        <v>3293</v>
      </c>
      <c r="E472" s="227" t="s">
        <v>68</v>
      </c>
      <c r="F472" s="153" t="s">
        <v>686</v>
      </c>
      <c r="G472" s="883"/>
      <c r="H472" s="879">
        <v>13380.17</v>
      </c>
      <c r="I472" s="880">
        <v>13380</v>
      </c>
      <c r="J472" s="149"/>
      <c r="K472" s="149"/>
      <c r="L472" s="149"/>
      <c r="M472" s="149"/>
      <c r="N472" s="149"/>
      <c r="O472" s="149"/>
      <c r="P472" s="149"/>
      <c r="Q472" s="149"/>
      <c r="R472" s="149"/>
      <c r="S472" s="149"/>
      <c r="T472" s="149"/>
      <c r="U472" s="149"/>
      <c r="V472" s="149"/>
      <c r="W472" s="149"/>
      <c r="X472" s="149"/>
      <c r="Y472" s="149"/>
      <c r="Z472" s="149"/>
      <c r="AA472" s="149"/>
      <c r="AB472" s="149"/>
      <c r="AC472" s="149"/>
      <c r="AD472" s="149"/>
      <c r="AE472" s="149"/>
      <c r="AF472" s="149"/>
      <c r="AG472" s="149"/>
      <c r="AH472" s="149"/>
      <c r="AI472" s="149"/>
    </row>
    <row r="473" spans="1:35" ht="24">
      <c r="A473" s="150" t="s">
        <v>49</v>
      </c>
      <c r="B473" s="151">
        <v>52</v>
      </c>
      <c r="C473" s="254" t="s">
        <v>32</v>
      </c>
      <c r="D473" s="151">
        <v>3294</v>
      </c>
      <c r="E473" s="227" t="s">
        <v>69</v>
      </c>
      <c r="F473" s="153" t="s">
        <v>686</v>
      </c>
      <c r="G473" s="883"/>
      <c r="H473" s="879"/>
      <c r="I473" s="880"/>
      <c r="J473" s="149"/>
      <c r="K473" s="149"/>
      <c r="L473" s="149"/>
      <c r="M473" s="149"/>
      <c r="N473" s="149"/>
      <c r="O473" s="149"/>
      <c r="P473" s="149"/>
      <c r="Q473" s="149"/>
      <c r="R473" s="149"/>
      <c r="S473" s="149"/>
      <c r="T473" s="149"/>
      <c r="U473" s="149"/>
      <c r="V473" s="149"/>
      <c r="W473" s="149"/>
      <c r="X473" s="149"/>
      <c r="Y473" s="149"/>
      <c r="Z473" s="149"/>
      <c r="AA473" s="149"/>
      <c r="AB473" s="149"/>
      <c r="AC473" s="149"/>
      <c r="AD473" s="149"/>
      <c r="AE473" s="149"/>
      <c r="AF473" s="149"/>
      <c r="AG473" s="149"/>
      <c r="AH473" s="149"/>
      <c r="AI473" s="149"/>
    </row>
    <row r="474" spans="1:35" ht="24">
      <c r="A474" s="150" t="s">
        <v>49</v>
      </c>
      <c r="B474" s="151">
        <v>52</v>
      </c>
      <c r="C474" s="254" t="s">
        <v>32</v>
      </c>
      <c r="D474" s="151">
        <v>3295</v>
      </c>
      <c r="E474" s="227" t="s">
        <v>55</v>
      </c>
      <c r="F474" s="153" t="s">
        <v>686</v>
      </c>
      <c r="G474" s="883"/>
      <c r="H474" s="879"/>
      <c r="I474" s="880"/>
      <c r="J474" s="149"/>
      <c r="K474" s="149"/>
      <c r="L474" s="149"/>
      <c r="M474" s="149"/>
      <c r="N474" s="149"/>
      <c r="O474" s="149"/>
      <c r="P474" s="149"/>
      <c r="Q474" s="149"/>
      <c r="R474" s="149"/>
      <c r="S474" s="149"/>
      <c r="T474" s="149"/>
      <c r="U474" s="149"/>
      <c r="V474" s="149"/>
      <c r="W474" s="149"/>
      <c r="X474" s="149"/>
      <c r="Y474" s="149"/>
      <c r="Z474" s="149"/>
      <c r="AA474" s="149"/>
      <c r="AB474" s="149"/>
      <c r="AC474" s="149"/>
      <c r="AD474" s="149"/>
      <c r="AE474" s="149"/>
      <c r="AF474" s="149"/>
      <c r="AG474" s="149"/>
      <c r="AH474" s="149"/>
      <c r="AI474" s="149"/>
    </row>
    <row r="475" spans="1:35" ht="36">
      <c r="A475" s="150" t="s">
        <v>49</v>
      </c>
      <c r="B475" s="151">
        <v>52</v>
      </c>
      <c r="C475" s="254" t="s">
        <v>32</v>
      </c>
      <c r="D475" s="151">
        <v>3296</v>
      </c>
      <c r="E475" s="227" t="s">
        <v>97</v>
      </c>
      <c r="F475" s="153" t="s">
        <v>686</v>
      </c>
      <c r="G475" s="883"/>
      <c r="H475" s="879"/>
      <c r="I475" s="880"/>
      <c r="J475" s="149"/>
      <c r="K475" s="149"/>
      <c r="L475" s="149"/>
      <c r="M475" s="149"/>
      <c r="N475" s="149"/>
      <c r="O475" s="149"/>
      <c r="P475" s="149"/>
      <c r="Q475" s="149"/>
      <c r="R475" s="149"/>
      <c r="S475" s="149"/>
      <c r="T475" s="149"/>
      <c r="U475" s="149"/>
      <c r="V475" s="149"/>
      <c r="W475" s="149"/>
      <c r="X475" s="149"/>
      <c r="Y475" s="149"/>
      <c r="Z475" s="149"/>
      <c r="AA475" s="149"/>
      <c r="AB475" s="149"/>
      <c r="AC475" s="149"/>
      <c r="AD475" s="149"/>
      <c r="AE475" s="149"/>
      <c r="AF475" s="149"/>
      <c r="AG475" s="149"/>
      <c r="AH475" s="149"/>
      <c r="AI475" s="149"/>
    </row>
    <row r="476" spans="1:35" ht="48">
      <c r="A476" s="150" t="s">
        <v>49</v>
      </c>
      <c r="B476" s="151">
        <v>52</v>
      </c>
      <c r="C476" s="254" t="s">
        <v>32</v>
      </c>
      <c r="D476" s="151">
        <v>3299</v>
      </c>
      <c r="E476" s="227" t="s">
        <v>57</v>
      </c>
      <c r="F476" s="153" t="s">
        <v>686</v>
      </c>
      <c r="G476" s="883"/>
      <c r="H476" s="879">
        <f>16539.26+3000</f>
        <v>19539.259999999998</v>
      </c>
      <c r="I476" s="880">
        <v>19539</v>
      </c>
      <c r="J476" s="149"/>
      <c r="K476" s="149"/>
      <c r="L476" s="149"/>
      <c r="M476" s="149"/>
      <c r="N476" s="149"/>
      <c r="O476" s="149"/>
      <c r="P476" s="149"/>
      <c r="Q476" s="149"/>
      <c r="R476" s="149"/>
      <c r="S476" s="149"/>
      <c r="T476" s="149"/>
      <c r="U476" s="149"/>
      <c r="V476" s="149"/>
      <c r="W476" s="149"/>
      <c r="X476" s="149"/>
      <c r="Y476" s="149"/>
      <c r="Z476" s="149"/>
      <c r="AA476" s="149"/>
      <c r="AB476" s="149"/>
      <c r="AC476" s="149"/>
      <c r="AD476" s="149"/>
      <c r="AE476" s="149"/>
      <c r="AF476" s="149"/>
      <c r="AG476" s="149"/>
      <c r="AH476" s="149"/>
      <c r="AI476" s="149"/>
    </row>
    <row r="477" spans="1:35" ht="60">
      <c r="A477" s="150" t="s">
        <v>49</v>
      </c>
      <c r="B477" s="151">
        <v>52</v>
      </c>
      <c r="C477" s="254" t="s">
        <v>32</v>
      </c>
      <c r="D477" s="151">
        <v>3431</v>
      </c>
      <c r="E477" s="227" t="s">
        <v>70</v>
      </c>
      <c r="F477" s="153" t="s">
        <v>686</v>
      </c>
      <c r="G477" s="883"/>
      <c r="H477" s="879"/>
      <c r="I477" s="880"/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  <c r="T477" s="149"/>
      <c r="U477" s="149"/>
      <c r="V477" s="149"/>
      <c r="W477" s="149"/>
      <c r="X477" s="149"/>
      <c r="Y477" s="149"/>
      <c r="Z477" s="149"/>
      <c r="AA477" s="149"/>
      <c r="AB477" s="149"/>
      <c r="AC477" s="149"/>
      <c r="AD477" s="149"/>
      <c r="AE477" s="149"/>
      <c r="AF477" s="149"/>
      <c r="AG477" s="149"/>
      <c r="AH477" s="149"/>
      <c r="AI477" s="149"/>
    </row>
    <row r="478" spans="1:35" ht="72">
      <c r="A478" s="150" t="s">
        <v>49</v>
      </c>
      <c r="B478" s="151">
        <v>52</v>
      </c>
      <c r="C478" s="254" t="s">
        <v>32</v>
      </c>
      <c r="D478" s="151">
        <v>3432</v>
      </c>
      <c r="E478" s="227" t="s">
        <v>71</v>
      </c>
      <c r="F478" s="153" t="s">
        <v>686</v>
      </c>
      <c r="G478" s="883"/>
      <c r="H478" s="879">
        <v>24.18</v>
      </c>
      <c r="I478" s="880">
        <v>24</v>
      </c>
      <c r="J478" s="149"/>
      <c r="K478" s="149"/>
      <c r="L478" s="149"/>
      <c r="M478" s="149"/>
      <c r="N478" s="149"/>
      <c r="O478" s="149"/>
      <c r="P478" s="149"/>
      <c r="Q478" s="149"/>
      <c r="R478" s="149"/>
      <c r="S478" s="149"/>
      <c r="T478" s="149"/>
      <c r="U478" s="149"/>
      <c r="V478" s="149"/>
      <c r="W478" s="149"/>
      <c r="X478" s="149"/>
      <c r="Y478" s="149"/>
      <c r="Z478" s="149"/>
      <c r="AA478" s="149"/>
      <c r="AB478" s="149"/>
      <c r="AC478" s="149"/>
      <c r="AD478" s="149"/>
      <c r="AE478" s="149"/>
      <c r="AF478" s="149"/>
      <c r="AG478" s="149"/>
      <c r="AH478" s="149"/>
      <c r="AI478" s="149"/>
    </row>
    <row r="479" spans="1:35" ht="48">
      <c r="A479" s="150" t="s">
        <v>49</v>
      </c>
      <c r="B479" s="151">
        <v>52</v>
      </c>
      <c r="C479" s="254" t="s">
        <v>32</v>
      </c>
      <c r="D479" s="151">
        <v>3433</v>
      </c>
      <c r="E479" s="227" t="s">
        <v>725</v>
      </c>
      <c r="F479" s="153" t="s">
        <v>686</v>
      </c>
      <c r="G479" s="883"/>
      <c r="H479" s="879"/>
      <c r="I479" s="880"/>
      <c r="J479" s="149"/>
      <c r="K479" s="149"/>
      <c r="L479" s="149"/>
      <c r="M479" s="149"/>
      <c r="N479" s="149"/>
      <c r="O479" s="149"/>
      <c r="P479" s="149"/>
      <c r="Q479" s="149"/>
      <c r="R479" s="149"/>
      <c r="S479" s="149"/>
      <c r="T479" s="149"/>
      <c r="U479" s="149"/>
      <c r="V479" s="149"/>
      <c r="W479" s="149"/>
      <c r="X479" s="149"/>
      <c r="Y479" s="149"/>
      <c r="Z479" s="149"/>
      <c r="AA479" s="149"/>
      <c r="AB479" s="149"/>
      <c r="AC479" s="149"/>
      <c r="AD479" s="149"/>
      <c r="AE479" s="149"/>
      <c r="AF479" s="149"/>
      <c r="AG479" s="149"/>
      <c r="AH479" s="149"/>
      <c r="AI479" s="149"/>
    </row>
    <row r="480" spans="1:35" ht="48">
      <c r="A480" s="150" t="s">
        <v>49</v>
      </c>
      <c r="B480" s="151">
        <v>52</v>
      </c>
      <c r="C480" s="254" t="s">
        <v>715</v>
      </c>
      <c r="D480" s="151">
        <v>3434</v>
      </c>
      <c r="E480" s="227" t="s">
        <v>94</v>
      </c>
      <c r="F480" s="153" t="s">
        <v>686</v>
      </c>
      <c r="G480" s="883"/>
      <c r="H480" s="879"/>
      <c r="I480" s="880"/>
      <c r="J480" s="149"/>
      <c r="K480" s="149"/>
      <c r="L480" s="149"/>
      <c r="M480" s="149"/>
      <c r="N480" s="149"/>
      <c r="O480" s="149"/>
      <c r="P480" s="149"/>
      <c r="Q480" s="149"/>
      <c r="R480" s="149"/>
      <c r="S480" s="149"/>
      <c r="T480" s="149"/>
      <c r="U480" s="149"/>
      <c r="V480" s="149"/>
      <c r="W480" s="149"/>
      <c r="X480" s="149"/>
      <c r="Y480" s="149"/>
      <c r="Z480" s="149"/>
      <c r="AA480" s="149"/>
      <c r="AB480" s="149"/>
      <c r="AC480" s="149"/>
      <c r="AD480" s="149"/>
      <c r="AE480" s="149"/>
      <c r="AF480" s="149"/>
      <c r="AG480" s="149"/>
      <c r="AH480" s="149"/>
      <c r="AI480" s="149"/>
    </row>
    <row r="481" spans="1:35" ht="36">
      <c r="A481" s="150" t="s">
        <v>49</v>
      </c>
      <c r="B481" s="151">
        <v>52</v>
      </c>
      <c r="C481" s="254" t="s">
        <v>32</v>
      </c>
      <c r="D481" s="151">
        <v>3522</v>
      </c>
      <c r="E481" s="227" t="s">
        <v>755</v>
      </c>
      <c r="F481" s="153" t="s">
        <v>686</v>
      </c>
      <c r="G481" s="883"/>
      <c r="H481" s="879"/>
      <c r="I481" s="880"/>
      <c r="J481" s="149"/>
      <c r="K481" s="149"/>
      <c r="L481" s="149"/>
      <c r="M481" s="149"/>
      <c r="N481" s="149"/>
      <c r="O481" s="149"/>
      <c r="P481" s="149"/>
      <c r="Q481" s="149"/>
      <c r="R481" s="149"/>
      <c r="S481" s="149"/>
      <c r="T481" s="149"/>
      <c r="U481" s="149"/>
      <c r="V481" s="149"/>
      <c r="W481" s="149"/>
      <c r="X481" s="149"/>
      <c r="Y481" s="149"/>
      <c r="Z481" s="149"/>
      <c r="AA481" s="149"/>
      <c r="AB481" s="149"/>
      <c r="AC481" s="149"/>
      <c r="AD481" s="149"/>
      <c r="AE481" s="149"/>
      <c r="AF481" s="149"/>
      <c r="AG481" s="149"/>
      <c r="AH481" s="149"/>
      <c r="AI481" s="149"/>
    </row>
    <row r="482" spans="1:35" ht="84">
      <c r="A482" s="150" t="s">
        <v>49</v>
      </c>
      <c r="B482" s="151">
        <v>52</v>
      </c>
      <c r="C482" s="254" t="s">
        <v>715</v>
      </c>
      <c r="D482" s="151">
        <v>3691</v>
      </c>
      <c r="E482" s="227" t="s">
        <v>36</v>
      </c>
      <c r="F482" s="153" t="s">
        <v>686</v>
      </c>
      <c r="G482" s="883"/>
      <c r="H482" s="879"/>
      <c r="I482" s="880"/>
      <c r="J482" s="149"/>
      <c r="K482" s="149"/>
      <c r="L482" s="149"/>
      <c r="M482" s="149"/>
      <c r="N482" s="149"/>
      <c r="O482" s="149"/>
      <c r="P482" s="149"/>
      <c r="Q482" s="149"/>
      <c r="R482" s="149"/>
      <c r="S482" s="149"/>
      <c r="T482" s="149"/>
      <c r="U482" s="149"/>
      <c r="V482" s="149"/>
      <c r="W482" s="149"/>
      <c r="X482" s="149"/>
      <c r="Y482" s="149"/>
      <c r="Z482" s="149"/>
      <c r="AA482" s="149"/>
      <c r="AB482" s="149"/>
      <c r="AC482" s="149"/>
      <c r="AD482" s="149"/>
      <c r="AE482" s="149"/>
      <c r="AF482" s="149"/>
      <c r="AG482" s="149"/>
      <c r="AH482" s="149"/>
      <c r="AI482" s="149"/>
    </row>
    <row r="483" spans="1:35" ht="84">
      <c r="A483" s="150" t="s">
        <v>49</v>
      </c>
      <c r="B483" s="151">
        <v>52</v>
      </c>
      <c r="C483" s="254" t="s">
        <v>32</v>
      </c>
      <c r="D483" s="151">
        <v>3692</v>
      </c>
      <c r="E483" s="227" t="s">
        <v>695</v>
      </c>
      <c r="F483" s="153" t="s">
        <v>686</v>
      </c>
      <c r="G483" s="883"/>
      <c r="H483" s="879"/>
      <c r="I483" s="880"/>
      <c r="J483" s="149"/>
      <c r="K483" s="149"/>
      <c r="L483" s="149"/>
      <c r="M483" s="149"/>
      <c r="N483" s="149"/>
      <c r="O483" s="149"/>
      <c r="P483" s="149"/>
      <c r="Q483" s="149"/>
      <c r="R483" s="149"/>
      <c r="S483" s="149"/>
      <c r="T483" s="149"/>
      <c r="U483" s="149"/>
      <c r="V483" s="149"/>
      <c r="W483" s="149"/>
      <c r="X483" s="149"/>
      <c r="Y483" s="149"/>
      <c r="Z483" s="149"/>
      <c r="AA483" s="149"/>
      <c r="AB483" s="149"/>
      <c r="AC483" s="149"/>
      <c r="AD483" s="149"/>
      <c r="AE483" s="149"/>
      <c r="AF483" s="149"/>
      <c r="AG483" s="149"/>
      <c r="AH483" s="149"/>
      <c r="AI483" s="149"/>
    </row>
    <row r="484" spans="1:35" ht="120">
      <c r="A484" s="856" t="s">
        <v>49</v>
      </c>
      <c r="B484" s="854">
        <v>52</v>
      </c>
      <c r="C484" s="857" t="s">
        <v>715</v>
      </c>
      <c r="D484" s="854">
        <v>3693</v>
      </c>
      <c r="E484" s="855" t="s">
        <v>37</v>
      </c>
      <c r="F484" s="863" t="s">
        <v>686</v>
      </c>
      <c r="G484" s="883"/>
      <c r="H484" s="879"/>
      <c r="I484" s="880"/>
      <c r="J484" s="149"/>
      <c r="K484" s="149"/>
      <c r="L484" s="149"/>
      <c r="M484" s="149"/>
      <c r="N484" s="149"/>
      <c r="O484" s="149"/>
      <c r="P484" s="149"/>
      <c r="Q484" s="149"/>
      <c r="R484" s="149"/>
      <c r="S484" s="149"/>
      <c r="T484" s="149"/>
      <c r="U484" s="149"/>
      <c r="V484" s="149"/>
      <c r="W484" s="149"/>
      <c r="X484" s="149"/>
      <c r="Y484" s="149"/>
      <c r="Z484" s="149"/>
      <c r="AA484" s="149"/>
      <c r="AB484" s="149"/>
      <c r="AC484" s="149"/>
      <c r="AD484" s="149"/>
      <c r="AE484" s="149"/>
      <c r="AF484" s="149"/>
      <c r="AG484" s="149"/>
      <c r="AH484" s="149"/>
      <c r="AI484" s="149"/>
    </row>
    <row r="485" spans="1:35" ht="48">
      <c r="A485" s="150" t="s">
        <v>49</v>
      </c>
      <c r="B485" s="151">
        <v>52</v>
      </c>
      <c r="C485" s="254" t="s">
        <v>32</v>
      </c>
      <c r="D485" s="151">
        <v>3721</v>
      </c>
      <c r="E485" s="227" t="s">
        <v>84</v>
      </c>
      <c r="F485" s="153" t="s">
        <v>686</v>
      </c>
      <c r="G485" s="883"/>
      <c r="H485" s="879"/>
      <c r="I485" s="880"/>
      <c r="J485" s="149"/>
      <c r="K485" s="149"/>
      <c r="L485" s="149"/>
      <c r="M485" s="149"/>
      <c r="N485" s="149"/>
      <c r="O485" s="149"/>
      <c r="P485" s="149"/>
      <c r="Q485" s="149"/>
      <c r="R485" s="149"/>
      <c r="S485" s="149"/>
      <c r="T485" s="149"/>
      <c r="U485" s="149"/>
      <c r="V485" s="149"/>
      <c r="W485" s="149"/>
      <c r="X485" s="149"/>
      <c r="Y485" s="149"/>
      <c r="Z485" s="149"/>
      <c r="AA485" s="149"/>
      <c r="AB485" s="149"/>
      <c r="AC485" s="149"/>
      <c r="AD485" s="149"/>
      <c r="AE485" s="149"/>
      <c r="AF485" s="149"/>
      <c r="AG485" s="149"/>
      <c r="AH485" s="149"/>
      <c r="AI485" s="149"/>
    </row>
    <row r="486" spans="1:35" ht="36">
      <c r="A486" s="150" t="s">
        <v>49</v>
      </c>
      <c r="B486" s="151">
        <v>52</v>
      </c>
      <c r="C486" s="254" t="s">
        <v>32</v>
      </c>
      <c r="D486" s="151">
        <v>3811</v>
      </c>
      <c r="E486" s="227" t="s">
        <v>56</v>
      </c>
      <c r="F486" s="153" t="s">
        <v>686</v>
      </c>
      <c r="G486" s="883"/>
      <c r="H486" s="879"/>
      <c r="I486" s="880"/>
      <c r="J486" s="149"/>
      <c r="K486" s="149"/>
      <c r="L486" s="149"/>
      <c r="M486" s="149"/>
      <c r="N486" s="149"/>
      <c r="O486" s="149"/>
      <c r="P486" s="149"/>
      <c r="Q486" s="149"/>
      <c r="R486" s="149"/>
      <c r="S486" s="149"/>
      <c r="T486" s="149"/>
      <c r="U486" s="149"/>
      <c r="V486" s="149"/>
      <c r="W486" s="149"/>
      <c r="X486" s="149"/>
      <c r="Y486" s="149"/>
      <c r="Z486" s="149"/>
      <c r="AA486" s="149"/>
      <c r="AB486" s="149"/>
      <c r="AC486" s="149"/>
      <c r="AD486" s="149"/>
      <c r="AE486" s="149"/>
      <c r="AF486" s="149"/>
      <c r="AG486" s="149"/>
      <c r="AH486" s="149"/>
      <c r="AI486" s="149"/>
    </row>
    <row r="487" spans="1:35" ht="48">
      <c r="A487" s="150" t="s">
        <v>49</v>
      </c>
      <c r="B487" s="151">
        <v>52</v>
      </c>
      <c r="C487" s="254" t="s">
        <v>32</v>
      </c>
      <c r="D487" s="151">
        <v>383</v>
      </c>
      <c r="E487" s="227" t="s">
        <v>756</v>
      </c>
      <c r="F487" s="153" t="s">
        <v>686</v>
      </c>
      <c r="G487" s="883"/>
      <c r="H487" s="879"/>
      <c r="I487" s="880"/>
      <c r="J487" s="149"/>
      <c r="K487" s="149"/>
      <c r="L487" s="149"/>
      <c r="M487" s="149"/>
      <c r="N487" s="149"/>
      <c r="O487" s="149"/>
      <c r="P487" s="149"/>
      <c r="Q487" s="149"/>
      <c r="R487" s="149"/>
      <c r="S487" s="149"/>
      <c r="T487" s="149"/>
      <c r="U487" s="149"/>
      <c r="V487" s="149"/>
      <c r="W487" s="149"/>
      <c r="X487" s="149"/>
      <c r="Y487" s="149"/>
      <c r="Z487" s="149"/>
      <c r="AA487" s="149"/>
      <c r="AB487" s="149"/>
      <c r="AC487" s="149"/>
      <c r="AD487" s="149"/>
      <c r="AE487" s="149"/>
      <c r="AF487" s="149"/>
      <c r="AG487" s="149"/>
      <c r="AH487" s="149"/>
      <c r="AI487" s="149"/>
    </row>
    <row r="488" spans="1:35" ht="24">
      <c r="A488" s="150" t="s">
        <v>49</v>
      </c>
      <c r="B488" s="151">
        <v>52</v>
      </c>
      <c r="C488" s="254" t="s">
        <v>32</v>
      </c>
      <c r="D488" s="151">
        <v>4123</v>
      </c>
      <c r="E488" s="227" t="s">
        <v>92</v>
      </c>
      <c r="F488" s="153" t="s">
        <v>686</v>
      </c>
      <c r="G488" s="883"/>
      <c r="H488" s="879"/>
      <c r="I488" s="880"/>
      <c r="J488" s="149"/>
      <c r="K488" s="149"/>
      <c r="L488" s="149"/>
      <c r="M488" s="149"/>
      <c r="N488" s="149"/>
      <c r="O488" s="149"/>
      <c r="P488" s="149"/>
      <c r="Q488" s="149"/>
      <c r="R488" s="149"/>
      <c r="S488" s="149"/>
      <c r="T488" s="149"/>
      <c r="U488" s="149"/>
      <c r="V488" s="149"/>
      <c r="W488" s="149"/>
      <c r="X488" s="149"/>
      <c r="Y488" s="149"/>
      <c r="Z488" s="149"/>
      <c r="AA488" s="149"/>
      <c r="AB488" s="149"/>
      <c r="AC488" s="149"/>
      <c r="AD488" s="149"/>
      <c r="AE488" s="149"/>
      <c r="AF488" s="149"/>
      <c r="AG488" s="149"/>
      <c r="AH488" s="149"/>
      <c r="AI488" s="149"/>
    </row>
    <row r="489" spans="1:35" ht="60">
      <c r="A489" s="150" t="s">
        <v>49</v>
      </c>
      <c r="B489" s="151">
        <v>52</v>
      </c>
      <c r="C489" s="254" t="s">
        <v>32</v>
      </c>
      <c r="D489" s="151">
        <v>4124</v>
      </c>
      <c r="E489" s="227" t="s">
        <v>721</v>
      </c>
      <c r="F489" s="153" t="s">
        <v>686</v>
      </c>
      <c r="G489" s="883"/>
      <c r="H489" s="879"/>
      <c r="I489" s="880"/>
      <c r="J489" s="149"/>
      <c r="K489" s="149"/>
      <c r="L489" s="149"/>
      <c r="M489" s="149"/>
      <c r="N489" s="149"/>
      <c r="O489" s="149"/>
      <c r="P489" s="149"/>
      <c r="Q489" s="149"/>
      <c r="R489" s="149"/>
      <c r="S489" s="149"/>
      <c r="T489" s="149"/>
      <c r="U489" s="149"/>
      <c r="V489" s="149"/>
      <c r="W489" s="149"/>
      <c r="X489" s="149"/>
      <c r="Y489" s="149"/>
      <c r="Z489" s="149"/>
      <c r="AA489" s="149"/>
      <c r="AB489" s="149"/>
      <c r="AC489" s="149"/>
      <c r="AD489" s="149"/>
      <c r="AE489" s="149"/>
      <c r="AF489" s="149"/>
      <c r="AG489" s="149"/>
      <c r="AH489" s="149"/>
      <c r="AI489" s="149"/>
    </row>
    <row r="490" spans="1:35" ht="36">
      <c r="A490" s="150" t="s">
        <v>49</v>
      </c>
      <c r="B490" s="151">
        <v>52</v>
      </c>
      <c r="C490" s="254" t="s">
        <v>32</v>
      </c>
      <c r="D490" s="151">
        <v>4126</v>
      </c>
      <c r="E490" s="227" t="s">
        <v>757</v>
      </c>
      <c r="F490" s="153" t="s">
        <v>686</v>
      </c>
      <c r="G490" s="883"/>
      <c r="H490" s="879"/>
      <c r="I490" s="880"/>
      <c r="J490" s="149"/>
      <c r="K490" s="149"/>
      <c r="L490" s="149"/>
      <c r="M490" s="149"/>
      <c r="N490" s="149"/>
      <c r="O490" s="149"/>
      <c r="P490" s="149"/>
      <c r="Q490" s="149"/>
      <c r="R490" s="149"/>
      <c r="S490" s="149"/>
      <c r="T490" s="149"/>
      <c r="U490" s="149"/>
      <c r="V490" s="149"/>
      <c r="W490" s="149"/>
      <c r="X490" s="149"/>
      <c r="Y490" s="149"/>
      <c r="Z490" s="149"/>
      <c r="AA490" s="149"/>
      <c r="AB490" s="149"/>
      <c r="AC490" s="149"/>
      <c r="AD490" s="149"/>
      <c r="AE490" s="149"/>
      <c r="AF490" s="149"/>
      <c r="AG490" s="149"/>
      <c r="AH490" s="149"/>
      <c r="AI490" s="149"/>
    </row>
    <row r="491" spans="1:35" ht="24">
      <c r="A491" s="150" t="s">
        <v>49</v>
      </c>
      <c r="B491" s="151">
        <v>52</v>
      </c>
      <c r="C491" s="254" t="s">
        <v>32</v>
      </c>
      <c r="D491" s="151">
        <v>4212</v>
      </c>
      <c r="E491" s="227" t="s">
        <v>58</v>
      </c>
      <c r="F491" s="153" t="s">
        <v>686</v>
      </c>
      <c r="G491" s="883"/>
      <c r="H491" s="879"/>
      <c r="I491" s="880"/>
      <c r="J491" s="149"/>
      <c r="K491" s="149"/>
      <c r="L491" s="149"/>
      <c r="M491" s="149"/>
      <c r="N491" s="149"/>
      <c r="O491" s="149"/>
      <c r="P491" s="149"/>
      <c r="Q491" s="149"/>
      <c r="R491" s="149"/>
      <c r="S491" s="149"/>
      <c r="T491" s="149"/>
      <c r="U491" s="149"/>
      <c r="V491" s="149"/>
      <c r="W491" s="149"/>
      <c r="X491" s="149"/>
      <c r="Y491" s="149"/>
      <c r="Z491" s="149"/>
      <c r="AA491" s="149"/>
      <c r="AB491" s="149"/>
      <c r="AC491" s="149"/>
      <c r="AD491" s="149"/>
      <c r="AE491" s="149"/>
      <c r="AF491" s="149"/>
      <c r="AG491" s="149"/>
      <c r="AH491" s="149"/>
      <c r="AI491" s="149"/>
    </row>
    <row r="492" spans="1:35" ht="60">
      <c r="A492" s="150" t="s">
        <v>49</v>
      </c>
      <c r="B492" s="151">
        <v>52</v>
      </c>
      <c r="C492" s="254" t="s">
        <v>32</v>
      </c>
      <c r="D492" s="151">
        <v>4213</v>
      </c>
      <c r="E492" s="227" t="s">
        <v>758</v>
      </c>
      <c r="F492" s="153" t="s">
        <v>686</v>
      </c>
      <c r="G492" s="883"/>
      <c r="H492" s="879"/>
      <c r="I492" s="880"/>
      <c r="J492" s="149"/>
      <c r="K492" s="149"/>
      <c r="L492" s="149"/>
      <c r="M492" s="149"/>
      <c r="N492" s="149"/>
      <c r="O492" s="149"/>
      <c r="P492" s="149"/>
      <c r="Q492" s="149"/>
      <c r="R492" s="149"/>
      <c r="S492" s="149"/>
      <c r="T492" s="149"/>
      <c r="U492" s="149"/>
      <c r="V492" s="149"/>
      <c r="W492" s="149"/>
      <c r="X492" s="149"/>
      <c r="Y492" s="149"/>
      <c r="Z492" s="149"/>
      <c r="AA492" s="149"/>
      <c r="AB492" s="149"/>
      <c r="AC492" s="149"/>
      <c r="AD492" s="149"/>
      <c r="AE492" s="149"/>
      <c r="AF492" s="149"/>
      <c r="AG492" s="149"/>
      <c r="AH492" s="149"/>
      <c r="AI492" s="149"/>
    </row>
    <row r="493" spans="1:35" ht="36">
      <c r="A493" s="150" t="s">
        <v>49</v>
      </c>
      <c r="B493" s="151">
        <v>52</v>
      </c>
      <c r="C493" s="254" t="s">
        <v>32</v>
      </c>
      <c r="D493" s="151">
        <v>4214</v>
      </c>
      <c r="E493" s="227" t="s">
        <v>719</v>
      </c>
      <c r="F493" s="153" t="s">
        <v>686</v>
      </c>
      <c r="G493" s="883"/>
      <c r="H493" s="879"/>
      <c r="I493" s="880"/>
      <c r="J493" s="149"/>
      <c r="K493" s="149"/>
      <c r="L493" s="149"/>
      <c r="M493" s="149"/>
      <c r="N493" s="149"/>
      <c r="O493" s="149"/>
      <c r="P493" s="149"/>
      <c r="Q493" s="149"/>
      <c r="R493" s="149"/>
      <c r="S493" s="149"/>
      <c r="T493" s="149"/>
      <c r="U493" s="149"/>
      <c r="V493" s="149"/>
      <c r="W493" s="149"/>
      <c r="X493" s="149"/>
      <c r="Y493" s="149"/>
      <c r="Z493" s="149"/>
      <c r="AA493" s="149"/>
      <c r="AB493" s="149"/>
      <c r="AC493" s="149"/>
      <c r="AD493" s="149"/>
      <c r="AE493" s="149"/>
      <c r="AF493" s="149"/>
      <c r="AG493" s="149"/>
      <c r="AH493" s="149"/>
      <c r="AI493" s="149"/>
    </row>
    <row r="494" spans="1:35" ht="36">
      <c r="A494" s="150" t="s">
        <v>49</v>
      </c>
      <c r="B494" s="151">
        <v>52</v>
      </c>
      <c r="C494" s="254" t="s">
        <v>32</v>
      </c>
      <c r="D494" s="151">
        <v>4221</v>
      </c>
      <c r="E494" s="227" t="s">
        <v>63</v>
      </c>
      <c r="F494" s="153" t="s">
        <v>686</v>
      </c>
      <c r="G494" s="883"/>
      <c r="H494" s="879"/>
      <c r="I494" s="880"/>
      <c r="J494" s="149"/>
      <c r="K494" s="149"/>
      <c r="L494" s="149"/>
      <c r="M494" s="149"/>
      <c r="N494" s="149"/>
      <c r="O494" s="149"/>
      <c r="P494" s="149"/>
      <c r="Q494" s="149"/>
      <c r="R494" s="149"/>
      <c r="S494" s="149"/>
      <c r="T494" s="149"/>
      <c r="U494" s="149"/>
      <c r="V494" s="149"/>
      <c r="W494" s="149"/>
      <c r="X494" s="149"/>
      <c r="Y494" s="149"/>
      <c r="Z494" s="149"/>
      <c r="AA494" s="149"/>
      <c r="AB494" s="149"/>
      <c r="AC494" s="149"/>
      <c r="AD494" s="149"/>
      <c r="AE494" s="149"/>
      <c r="AF494" s="149"/>
      <c r="AG494" s="149"/>
      <c r="AH494" s="149"/>
      <c r="AI494" s="149"/>
    </row>
    <row r="495" spans="1:35" s="166" customFormat="1" ht="24">
      <c r="A495" s="150" t="s">
        <v>49</v>
      </c>
      <c r="B495" s="151">
        <v>52</v>
      </c>
      <c r="C495" s="254" t="s">
        <v>32</v>
      </c>
      <c r="D495" s="151">
        <v>4222</v>
      </c>
      <c r="E495" s="227" t="s">
        <v>72</v>
      </c>
      <c r="F495" s="153" t="s">
        <v>686</v>
      </c>
      <c r="G495" s="883"/>
      <c r="H495" s="879"/>
      <c r="I495" s="880"/>
      <c r="J495" s="165"/>
      <c r="K495" s="165"/>
      <c r="L495" s="165"/>
      <c r="M495" s="165"/>
      <c r="N495" s="165"/>
      <c r="O495" s="165"/>
      <c r="P495" s="165"/>
      <c r="Q495" s="165"/>
      <c r="R495" s="165"/>
      <c r="S495" s="165"/>
      <c r="T495" s="165"/>
      <c r="U495" s="165"/>
      <c r="V495" s="165"/>
      <c r="W495" s="165"/>
      <c r="X495" s="165"/>
      <c r="Y495" s="165"/>
      <c r="Z495" s="165"/>
      <c r="AA495" s="165"/>
      <c r="AB495" s="165"/>
      <c r="AC495" s="165"/>
      <c r="AD495" s="165"/>
      <c r="AE495" s="165"/>
      <c r="AF495" s="165"/>
      <c r="AG495" s="165"/>
      <c r="AH495" s="165"/>
      <c r="AI495" s="165"/>
    </row>
    <row r="496" spans="1:35" s="166" customFormat="1" ht="36">
      <c r="A496" s="150" t="s">
        <v>49</v>
      </c>
      <c r="B496" s="151">
        <v>52</v>
      </c>
      <c r="C496" s="254" t="s">
        <v>32</v>
      </c>
      <c r="D496" s="151">
        <v>4223</v>
      </c>
      <c r="E496" s="227" t="s">
        <v>90</v>
      </c>
      <c r="F496" s="153" t="s">
        <v>686</v>
      </c>
      <c r="G496" s="883"/>
      <c r="H496" s="879"/>
      <c r="I496" s="880"/>
      <c r="J496" s="165"/>
      <c r="K496" s="165"/>
      <c r="L496" s="165"/>
      <c r="M496" s="165"/>
      <c r="N496" s="165"/>
      <c r="O496" s="165"/>
      <c r="P496" s="165"/>
      <c r="Q496" s="165"/>
      <c r="R496" s="165"/>
      <c r="S496" s="165"/>
      <c r="T496" s="165"/>
      <c r="U496" s="165"/>
      <c r="V496" s="165"/>
      <c r="W496" s="165"/>
      <c r="X496" s="165"/>
      <c r="Y496" s="165"/>
      <c r="Z496" s="165"/>
      <c r="AA496" s="165"/>
      <c r="AB496" s="165"/>
      <c r="AC496" s="165"/>
      <c r="AD496" s="165"/>
      <c r="AE496" s="165"/>
      <c r="AF496" s="165"/>
      <c r="AG496" s="165"/>
      <c r="AH496" s="165"/>
      <c r="AI496" s="165"/>
    </row>
    <row r="497" spans="1:35" ht="36">
      <c r="A497" s="150" t="s">
        <v>49</v>
      </c>
      <c r="B497" s="151">
        <v>52</v>
      </c>
      <c r="C497" s="254" t="s">
        <v>32</v>
      </c>
      <c r="D497" s="151">
        <v>4224</v>
      </c>
      <c r="E497" s="227" t="s">
        <v>73</v>
      </c>
      <c r="F497" s="153" t="s">
        <v>686</v>
      </c>
      <c r="G497" s="883"/>
      <c r="H497" s="879"/>
      <c r="I497" s="880"/>
      <c r="J497" s="149"/>
      <c r="K497" s="149"/>
      <c r="L497" s="149"/>
      <c r="M497" s="149"/>
      <c r="N497" s="149"/>
      <c r="O497" s="149"/>
      <c r="P497" s="149"/>
      <c r="Q497" s="149"/>
      <c r="R497" s="149"/>
      <c r="S497" s="149"/>
      <c r="T497" s="149"/>
      <c r="U497" s="149"/>
      <c r="V497" s="149"/>
      <c r="W497" s="149"/>
      <c r="X497" s="149"/>
      <c r="Y497" s="149"/>
      <c r="Z497" s="149"/>
      <c r="AA497" s="149"/>
      <c r="AB497" s="149"/>
      <c r="AC497" s="149"/>
      <c r="AD497" s="149"/>
      <c r="AE497" s="149"/>
      <c r="AF497" s="149"/>
      <c r="AG497" s="149"/>
      <c r="AH497" s="149"/>
      <c r="AI497" s="149"/>
    </row>
    <row r="498" spans="1:35" ht="36">
      <c r="A498" s="150" t="s">
        <v>49</v>
      </c>
      <c r="B498" s="151">
        <v>52</v>
      </c>
      <c r="C498" s="254" t="s">
        <v>32</v>
      </c>
      <c r="D498" s="151">
        <v>4225</v>
      </c>
      <c r="E498" s="227" t="s">
        <v>85</v>
      </c>
      <c r="F498" s="153" t="s">
        <v>686</v>
      </c>
      <c r="G498" s="883"/>
      <c r="H498" s="879"/>
      <c r="I498" s="880"/>
      <c r="J498" s="149"/>
      <c r="K498" s="149"/>
      <c r="L498" s="149"/>
      <c r="M498" s="149"/>
      <c r="N498" s="149"/>
      <c r="O498" s="149"/>
      <c r="P498" s="149"/>
      <c r="Q498" s="149"/>
      <c r="R498" s="149"/>
      <c r="S498" s="149"/>
      <c r="T498" s="149"/>
      <c r="U498" s="149"/>
      <c r="V498" s="149"/>
      <c r="W498" s="149"/>
      <c r="X498" s="149"/>
      <c r="Y498" s="149"/>
      <c r="Z498" s="149"/>
      <c r="AA498" s="149"/>
      <c r="AB498" s="149"/>
      <c r="AC498" s="149"/>
      <c r="AD498" s="149"/>
      <c r="AE498" s="149"/>
      <c r="AF498" s="149"/>
      <c r="AG498" s="149"/>
      <c r="AH498" s="149"/>
      <c r="AI498" s="149"/>
    </row>
    <row r="499" spans="1:35" s="166" customFormat="1" ht="24">
      <c r="A499" s="150" t="s">
        <v>49</v>
      </c>
      <c r="B499" s="151">
        <v>52</v>
      </c>
      <c r="C499" s="254" t="s">
        <v>32</v>
      </c>
      <c r="D499" s="151">
        <v>4226</v>
      </c>
      <c r="E499" s="227" t="s">
        <v>716</v>
      </c>
      <c r="F499" s="153" t="s">
        <v>686</v>
      </c>
      <c r="G499" s="883"/>
      <c r="H499" s="879"/>
      <c r="I499" s="880"/>
      <c r="J499" s="165"/>
      <c r="K499" s="165"/>
      <c r="L499" s="165"/>
      <c r="M499" s="165"/>
      <c r="N499" s="165"/>
      <c r="O499" s="165"/>
      <c r="P499" s="165"/>
      <c r="Q499" s="165"/>
      <c r="R499" s="165"/>
      <c r="S499" s="165"/>
      <c r="T499" s="165"/>
      <c r="U499" s="165"/>
      <c r="V499" s="165"/>
      <c r="W499" s="165"/>
      <c r="X499" s="165"/>
      <c r="Y499" s="165"/>
      <c r="Z499" s="165"/>
      <c r="AA499" s="165"/>
      <c r="AB499" s="165"/>
      <c r="AC499" s="165"/>
      <c r="AD499" s="165"/>
      <c r="AE499" s="165"/>
      <c r="AF499" s="165"/>
      <c r="AG499" s="165"/>
      <c r="AH499" s="165"/>
      <c r="AI499" s="165"/>
    </row>
    <row r="500" spans="1:35" ht="60">
      <c r="A500" s="150" t="s">
        <v>49</v>
      </c>
      <c r="B500" s="151">
        <v>52</v>
      </c>
      <c r="C500" s="254" t="s">
        <v>32</v>
      </c>
      <c r="D500" s="151">
        <v>4227</v>
      </c>
      <c r="E500" s="227" t="s">
        <v>93</v>
      </c>
      <c r="F500" s="153" t="s">
        <v>686</v>
      </c>
      <c r="G500" s="883"/>
      <c r="H500" s="879"/>
      <c r="I500" s="880"/>
      <c r="J500" s="149"/>
      <c r="K500" s="149"/>
      <c r="L500" s="149"/>
      <c r="M500" s="149"/>
      <c r="N500" s="149"/>
      <c r="O500" s="149"/>
      <c r="P500" s="149"/>
      <c r="Q500" s="149"/>
      <c r="R500" s="149"/>
      <c r="S500" s="149"/>
      <c r="T500" s="149"/>
      <c r="U500" s="149"/>
      <c r="V500" s="149"/>
      <c r="W500" s="149"/>
      <c r="X500" s="149"/>
      <c r="Y500" s="149"/>
      <c r="Z500" s="149"/>
      <c r="AA500" s="149"/>
      <c r="AB500" s="149"/>
      <c r="AC500" s="149"/>
      <c r="AD500" s="149"/>
      <c r="AE500" s="149"/>
      <c r="AF500" s="149"/>
      <c r="AG500" s="149"/>
      <c r="AH500" s="149"/>
      <c r="AI500" s="149"/>
    </row>
    <row r="501" spans="1:35" ht="48">
      <c r="A501" s="150" t="s">
        <v>49</v>
      </c>
      <c r="B501" s="151">
        <v>52</v>
      </c>
      <c r="C501" s="254" t="s">
        <v>32</v>
      </c>
      <c r="D501" s="151">
        <v>4231</v>
      </c>
      <c r="E501" s="227" t="s">
        <v>98</v>
      </c>
      <c r="F501" s="153" t="s">
        <v>686</v>
      </c>
      <c r="G501" s="883"/>
      <c r="H501" s="879"/>
      <c r="I501" s="880"/>
      <c r="J501" s="149"/>
      <c r="K501" s="149"/>
      <c r="L501" s="149"/>
      <c r="M501" s="149"/>
      <c r="N501" s="149"/>
      <c r="O501" s="149"/>
      <c r="P501" s="149"/>
      <c r="Q501" s="149"/>
      <c r="R501" s="149"/>
      <c r="S501" s="149"/>
      <c r="T501" s="149"/>
      <c r="U501" s="149"/>
      <c r="V501" s="149"/>
      <c r="W501" s="149"/>
      <c r="X501" s="149"/>
      <c r="Y501" s="149"/>
      <c r="Z501" s="149"/>
      <c r="AA501" s="149"/>
      <c r="AB501" s="149"/>
      <c r="AC501" s="149"/>
      <c r="AD501" s="149"/>
      <c r="AE501" s="149"/>
      <c r="AF501" s="149"/>
      <c r="AG501" s="149"/>
      <c r="AH501" s="149"/>
      <c r="AI501" s="149"/>
    </row>
    <row r="502" spans="1:35" ht="60">
      <c r="A502" s="150" t="s">
        <v>49</v>
      </c>
      <c r="B502" s="151">
        <v>52</v>
      </c>
      <c r="C502" s="254" t="s">
        <v>32</v>
      </c>
      <c r="D502" s="151">
        <v>4233</v>
      </c>
      <c r="E502" s="227" t="s">
        <v>759</v>
      </c>
      <c r="F502" s="153" t="s">
        <v>686</v>
      </c>
      <c r="G502" s="883"/>
      <c r="H502" s="879"/>
      <c r="I502" s="880"/>
      <c r="J502" s="149"/>
      <c r="K502" s="149"/>
      <c r="L502" s="149"/>
      <c r="M502" s="149"/>
      <c r="N502" s="149"/>
      <c r="O502" s="149"/>
      <c r="P502" s="149"/>
      <c r="Q502" s="149"/>
      <c r="R502" s="149"/>
      <c r="S502" s="149"/>
      <c r="T502" s="149"/>
      <c r="U502" s="149"/>
      <c r="V502" s="149"/>
      <c r="W502" s="149"/>
      <c r="X502" s="149"/>
      <c r="Y502" s="149"/>
      <c r="Z502" s="149"/>
      <c r="AA502" s="149"/>
      <c r="AB502" s="149"/>
      <c r="AC502" s="149"/>
      <c r="AD502" s="149"/>
      <c r="AE502" s="149"/>
      <c r="AF502" s="149"/>
      <c r="AG502" s="149"/>
      <c r="AH502" s="149"/>
      <c r="AI502" s="149"/>
    </row>
    <row r="503" spans="1:35" ht="24">
      <c r="A503" s="150" t="s">
        <v>49</v>
      </c>
      <c r="B503" s="151">
        <v>52</v>
      </c>
      <c r="C503" s="254" t="s">
        <v>32</v>
      </c>
      <c r="D503" s="151">
        <v>4241</v>
      </c>
      <c r="E503" s="227" t="s">
        <v>74</v>
      </c>
      <c r="F503" s="153" t="s">
        <v>686</v>
      </c>
      <c r="G503" s="883"/>
      <c r="H503" s="879">
        <v>12778</v>
      </c>
      <c r="I503" s="880">
        <v>12778</v>
      </c>
      <c r="J503" s="149"/>
      <c r="K503" s="149"/>
      <c r="L503" s="149"/>
      <c r="M503" s="149"/>
      <c r="N503" s="149"/>
      <c r="O503" s="149"/>
      <c r="P503" s="149"/>
      <c r="Q503" s="149"/>
      <c r="R503" s="149"/>
      <c r="S503" s="149"/>
      <c r="T503" s="149"/>
      <c r="U503" s="149"/>
      <c r="V503" s="149"/>
      <c r="W503" s="149"/>
      <c r="X503" s="149"/>
      <c r="Y503" s="149"/>
      <c r="Z503" s="149"/>
      <c r="AA503" s="149"/>
      <c r="AB503" s="149"/>
      <c r="AC503" s="149"/>
      <c r="AD503" s="149"/>
      <c r="AE503" s="149"/>
      <c r="AF503" s="149"/>
      <c r="AG503" s="149"/>
      <c r="AH503" s="149"/>
      <c r="AI503" s="149"/>
    </row>
    <row r="504" spans="1:35" ht="48">
      <c r="A504" s="150" t="s">
        <v>49</v>
      </c>
      <c r="B504" s="151">
        <v>52</v>
      </c>
      <c r="C504" s="254" t="s">
        <v>32</v>
      </c>
      <c r="D504" s="151">
        <v>4244</v>
      </c>
      <c r="E504" s="227" t="s">
        <v>760</v>
      </c>
      <c r="F504" s="153" t="s">
        <v>686</v>
      </c>
      <c r="G504" s="883"/>
      <c r="H504" s="879"/>
      <c r="I504" s="880"/>
      <c r="J504" s="149"/>
      <c r="K504" s="149"/>
      <c r="L504" s="149"/>
      <c r="M504" s="149"/>
      <c r="N504" s="149"/>
      <c r="O504" s="149"/>
      <c r="P504" s="149"/>
      <c r="Q504" s="149"/>
      <c r="R504" s="149"/>
      <c r="S504" s="149"/>
      <c r="T504" s="149"/>
      <c r="U504" s="149"/>
      <c r="V504" s="149"/>
      <c r="W504" s="149"/>
      <c r="X504" s="149"/>
      <c r="Y504" s="149"/>
      <c r="Z504" s="149"/>
      <c r="AA504" s="149"/>
      <c r="AB504" s="149"/>
      <c r="AC504" s="149"/>
      <c r="AD504" s="149"/>
      <c r="AE504" s="149"/>
      <c r="AF504" s="149"/>
      <c r="AG504" s="149"/>
      <c r="AH504" s="149"/>
      <c r="AI504" s="149"/>
    </row>
    <row r="505" spans="1:35" ht="36">
      <c r="A505" s="150" t="s">
        <v>49</v>
      </c>
      <c r="B505" s="151">
        <v>52</v>
      </c>
      <c r="C505" s="254" t="s">
        <v>32</v>
      </c>
      <c r="D505" s="151">
        <v>4262</v>
      </c>
      <c r="E505" s="227" t="s">
        <v>86</v>
      </c>
      <c r="F505" s="153" t="s">
        <v>686</v>
      </c>
      <c r="G505" s="883"/>
      <c r="H505" s="879"/>
      <c r="I505" s="880"/>
      <c r="J505" s="149"/>
      <c r="K505" s="149"/>
      <c r="L505" s="149"/>
      <c r="M505" s="149"/>
      <c r="N505" s="149"/>
      <c r="O505" s="149"/>
      <c r="P505" s="149"/>
      <c r="Q505" s="149"/>
      <c r="R505" s="149"/>
      <c r="S505" s="149"/>
      <c r="T505" s="149"/>
      <c r="U505" s="149"/>
      <c r="V505" s="149"/>
      <c r="W505" s="149"/>
      <c r="X505" s="149"/>
      <c r="Y505" s="149"/>
      <c r="Z505" s="149"/>
      <c r="AA505" s="149"/>
      <c r="AB505" s="149"/>
      <c r="AC505" s="149"/>
      <c r="AD505" s="149"/>
      <c r="AE505" s="149"/>
      <c r="AF505" s="149"/>
      <c r="AG505" s="149"/>
      <c r="AH505" s="149"/>
      <c r="AI505" s="149"/>
    </row>
    <row r="506" spans="1:35" ht="60">
      <c r="A506" s="150" t="s">
        <v>49</v>
      </c>
      <c r="B506" s="151">
        <v>52</v>
      </c>
      <c r="C506" s="254" t="s">
        <v>32</v>
      </c>
      <c r="D506" s="151">
        <v>4264</v>
      </c>
      <c r="E506" s="227" t="s">
        <v>761</v>
      </c>
      <c r="F506" s="153" t="s">
        <v>686</v>
      </c>
      <c r="G506" s="883"/>
      <c r="H506" s="879"/>
      <c r="I506" s="880"/>
      <c r="J506" s="149"/>
      <c r="K506" s="149"/>
      <c r="L506" s="149"/>
      <c r="M506" s="149"/>
      <c r="N506" s="149"/>
      <c r="O506" s="149"/>
      <c r="P506" s="149"/>
      <c r="Q506" s="149"/>
      <c r="R506" s="149"/>
      <c r="S506" s="149"/>
      <c r="T506" s="149"/>
      <c r="U506" s="149"/>
      <c r="V506" s="149"/>
      <c r="W506" s="149"/>
      <c r="X506" s="149"/>
      <c r="Y506" s="149"/>
      <c r="Z506" s="149"/>
      <c r="AA506" s="149"/>
      <c r="AB506" s="149"/>
      <c r="AC506" s="149"/>
      <c r="AD506" s="149"/>
      <c r="AE506" s="149"/>
      <c r="AF506" s="149"/>
      <c r="AG506" s="149"/>
      <c r="AH506" s="149"/>
      <c r="AI506" s="149"/>
    </row>
    <row r="507" spans="1:35" ht="60">
      <c r="A507" s="150" t="s">
        <v>49</v>
      </c>
      <c r="B507" s="151">
        <v>52</v>
      </c>
      <c r="C507" s="254" t="s">
        <v>32</v>
      </c>
      <c r="D507" s="151">
        <v>4312</v>
      </c>
      <c r="E507" s="227" t="s">
        <v>684</v>
      </c>
      <c r="F507" s="153" t="s">
        <v>686</v>
      </c>
      <c r="G507" s="883"/>
      <c r="H507" s="879"/>
      <c r="I507" s="880"/>
      <c r="J507" s="149"/>
      <c r="K507" s="149"/>
      <c r="L507" s="149"/>
      <c r="M507" s="149"/>
      <c r="N507" s="149"/>
      <c r="O507" s="149"/>
      <c r="P507" s="149"/>
      <c r="Q507" s="149"/>
      <c r="R507" s="149"/>
      <c r="S507" s="149"/>
      <c r="T507" s="149"/>
      <c r="U507" s="149"/>
      <c r="V507" s="149"/>
      <c r="W507" s="149"/>
      <c r="X507" s="149"/>
      <c r="Y507" s="149"/>
      <c r="Z507" s="149"/>
      <c r="AA507" s="149"/>
      <c r="AB507" s="149"/>
      <c r="AC507" s="149"/>
      <c r="AD507" s="149"/>
      <c r="AE507" s="149"/>
      <c r="AF507" s="149"/>
      <c r="AG507" s="149"/>
      <c r="AH507" s="149"/>
      <c r="AI507" s="149"/>
    </row>
    <row r="508" spans="1:35" ht="48">
      <c r="A508" s="150" t="s">
        <v>49</v>
      </c>
      <c r="B508" s="151">
        <v>52</v>
      </c>
      <c r="C508" s="254" t="s">
        <v>32</v>
      </c>
      <c r="D508" s="155">
        <v>4511</v>
      </c>
      <c r="E508" s="228" t="s">
        <v>91</v>
      </c>
      <c r="F508" s="153" t="s">
        <v>686</v>
      </c>
      <c r="G508" s="883"/>
      <c r="H508" s="879"/>
      <c r="I508" s="880"/>
      <c r="J508" s="149"/>
      <c r="K508" s="149"/>
      <c r="L508" s="149"/>
      <c r="M508" s="149"/>
      <c r="N508" s="149"/>
      <c r="O508" s="149"/>
      <c r="P508" s="149"/>
      <c r="Q508" s="149"/>
      <c r="R508" s="149"/>
      <c r="S508" s="149"/>
      <c r="T508" s="149"/>
      <c r="U508" s="149"/>
      <c r="V508" s="149"/>
      <c r="W508" s="149"/>
      <c r="X508" s="149"/>
      <c r="Y508" s="149"/>
      <c r="Z508" s="149"/>
      <c r="AA508" s="149"/>
      <c r="AB508" s="149"/>
      <c r="AC508" s="149"/>
      <c r="AD508" s="149"/>
      <c r="AE508" s="149"/>
      <c r="AF508" s="149"/>
      <c r="AG508" s="149"/>
      <c r="AH508" s="149"/>
      <c r="AI508" s="149"/>
    </row>
    <row r="509" spans="1:35" ht="48.75" thickBot="1">
      <c r="A509" s="154" t="s">
        <v>49</v>
      </c>
      <c r="B509" s="155">
        <v>52</v>
      </c>
      <c r="C509" s="255" t="s">
        <v>32</v>
      </c>
      <c r="D509" s="155">
        <v>4521</v>
      </c>
      <c r="E509" s="228" t="s">
        <v>95</v>
      </c>
      <c r="F509" s="156" t="s">
        <v>686</v>
      </c>
      <c r="G509" s="883"/>
      <c r="H509" s="879"/>
      <c r="I509" s="880"/>
      <c r="J509" s="149"/>
      <c r="K509" s="149"/>
      <c r="L509" s="149"/>
      <c r="M509" s="149"/>
      <c r="N509" s="149"/>
      <c r="O509" s="149"/>
      <c r="P509" s="149"/>
      <c r="Q509" s="149"/>
      <c r="R509" s="149"/>
      <c r="S509" s="149"/>
      <c r="T509" s="149"/>
      <c r="U509" s="149"/>
      <c r="V509" s="149"/>
      <c r="W509" s="149"/>
      <c r="X509" s="149"/>
      <c r="Y509" s="149"/>
      <c r="Z509" s="149"/>
      <c r="AA509" s="149"/>
      <c r="AB509" s="149"/>
      <c r="AC509" s="149"/>
      <c r="AD509" s="149"/>
      <c r="AE509" s="149"/>
      <c r="AF509" s="149"/>
      <c r="AG509" s="149"/>
      <c r="AH509" s="149"/>
      <c r="AI509" s="149"/>
    </row>
    <row r="510" spans="1:35" ht="12.75" thickBot="1">
      <c r="A510" s="157" t="s">
        <v>49</v>
      </c>
      <c r="B510" s="158">
        <v>52</v>
      </c>
      <c r="C510" s="256" t="s">
        <v>32</v>
      </c>
      <c r="D510" s="158"/>
      <c r="E510" s="229" t="s">
        <v>161</v>
      </c>
      <c r="F510" s="159" t="s">
        <v>686</v>
      </c>
      <c r="G510" s="881">
        <f>SUM(G442:G509)</f>
        <v>713616</v>
      </c>
      <c r="H510" s="881">
        <f t="shared" ref="H510:I510" si="7">SUM(H442:H509)</f>
        <v>1770317.6199999996</v>
      </c>
      <c r="I510" s="881">
        <f t="shared" si="7"/>
        <v>1933338</v>
      </c>
      <c r="J510" s="149"/>
      <c r="K510" s="149"/>
      <c r="L510" s="149"/>
      <c r="M510" s="149"/>
      <c r="N510" s="149"/>
      <c r="O510" s="149"/>
      <c r="P510" s="149"/>
      <c r="Q510" s="149"/>
      <c r="R510" s="149"/>
      <c r="S510" s="149"/>
      <c r="T510" s="149"/>
      <c r="U510" s="149"/>
      <c r="V510" s="149"/>
      <c r="W510" s="149"/>
      <c r="X510" s="149"/>
      <c r="Y510" s="149"/>
      <c r="Z510" s="149"/>
      <c r="AA510" s="149"/>
      <c r="AB510" s="149"/>
      <c r="AC510" s="149"/>
      <c r="AD510" s="149"/>
      <c r="AE510" s="149"/>
      <c r="AF510" s="149"/>
      <c r="AG510" s="149"/>
      <c r="AH510" s="149"/>
      <c r="AI510" s="149"/>
    </row>
    <row r="511" spans="1:35" ht="12.75" thickBot="1">
      <c r="A511" s="170" t="s">
        <v>49</v>
      </c>
      <c r="B511" s="171">
        <v>52</v>
      </c>
      <c r="C511" s="258" t="s">
        <v>32</v>
      </c>
      <c r="D511" s="171"/>
      <c r="E511" s="235" t="s">
        <v>736</v>
      </c>
      <c r="F511" s="172"/>
      <c r="G511" s="889">
        <f>G441+G510</f>
        <v>1218238</v>
      </c>
      <c r="H511" s="889">
        <f t="shared" ref="H511:I511" si="8">H441+H510</f>
        <v>3298191.3</v>
      </c>
      <c r="I511" s="889">
        <f t="shared" si="8"/>
        <v>3787995</v>
      </c>
      <c r="J511" s="149"/>
      <c r="K511" s="149"/>
      <c r="L511" s="149"/>
      <c r="M511" s="149"/>
      <c r="N511" s="149"/>
      <c r="O511" s="149"/>
      <c r="P511" s="149"/>
      <c r="Q511" s="149"/>
      <c r="R511" s="149"/>
      <c r="S511" s="149"/>
      <c r="T511" s="149"/>
      <c r="U511" s="149"/>
      <c r="V511" s="149"/>
      <c r="W511" s="149"/>
      <c r="X511" s="149"/>
      <c r="Y511" s="149"/>
      <c r="Z511" s="149"/>
      <c r="AA511" s="149"/>
      <c r="AB511" s="149"/>
      <c r="AC511" s="149"/>
      <c r="AD511" s="149"/>
      <c r="AE511" s="149"/>
      <c r="AF511" s="149"/>
      <c r="AG511" s="149"/>
      <c r="AH511" s="149"/>
      <c r="AI511" s="149"/>
    </row>
    <row r="512" spans="1:35" ht="24">
      <c r="A512" s="195" t="s">
        <v>49</v>
      </c>
      <c r="B512" s="196">
        <v>61</v>
      </c>
      <c r="C512" s="259" t="s">
        <v>40</v>
      </c>
      <c r="D512" s="197">
        <v>3111</v>
      </c>
      <c r="E512" s="236" t="s">
        <v>50</v>
      </c>
      <c r="F512" s="201" t="s">
        <v>687</v>
      </c>
      <c r="G512" s="570"/>
      <c r="H512" s="879"/>
      <c r="I512" s="880"/>
      <c r="J512" s="149"/>
      <c r="K512" s="149"/>
      <c r="L512" s="149"/>
      <c r="M512" s="149"/>
      <c r="N512" s="149"/>
      <c r="O512" s="149"/>
      <c r="P512" s="149"/>
      <c r="Q512" s="149"/>
      <c r="R512" s="149"/>
      <c r="S512" s="149"/>
      <c r="T512" s="149"/>
      <c r="U512" s="149"/>
      <c r="V512" s="149"/>
      <c r="W512" s="149"/>
      <c r="X512" s="149"/>
      <c r="Y512" s="149"/>
      <c r="Z512" s="149"/>
      <c r="AA512" s="149"/>
      <c r="AB512" s="149"/>
      <c r="AC512" s="149"/>
      <c r="AD512" s="149"/>
      <c r="AE512" s="149"/>
      <c r="AF512" s="149"/>
      <c r="AG512" s="149"/>
      <c r="AH512" s="149"/>
      <c r="AI512" s="149"/>
    </row>
    <row r="513" spans="1:35" ht="48">
      <c r="A513" s="146" t="s">
        <v>49</v>
      </c>
      <c r="B513" s="147">
        <v>61</v>
      </c>
      <c r="C513" s="253" t="s">
        <v>40</v>
      </c>
      <c r="D513" s="194">
        <v>3132</v>
      </c>
      <c r="E513" s="234" t="s">
        <v>52</v>
      </c>
      <c r="F513" s="202" t="s">
        <v>687</v>
      </c>
      <c r="G513" s="503"/>
      <c r="H513" s="879"/>
      <c r="I513" s="880"/>
      <c r="J513" s="149"/>
      <c r="K513" s="149"/>
      <c r="L513" s="149"/>
      <c r="M513" s="149"/>
      <c r="N513" s="149"/>
      <c r="O513" s="149"/>
      <c r="P513" s="149"/>
      <c r="Q513" s="149"/>
      <c r="R513" s="149"/>
      <c r="S513" s="149"/>
      <c r="T513" s="149"/>
      <c r="U513" s="149"/>
      <c r="V513" s="149"/>
      <c r="W513" s="149"/>
      <c r="X513" s="149"/>
      <c r="Y513" s="149"/>
      <c r="Z513" s="149"/>
      <c r="AA513" s="149"/>
      <c r="AB513" s="149"/>
      <c r="AC513" s="149"/>
      <c r="AD513" s="149"/>
      <c r="AE513" s="149"/>
      <c r="AF513" s="149"/>
      <c r="AG513" s="149"/>
      <c r="AH513" s="149"/>
      <c r="AI513" s="149"/>
    </row>
    <row r="514" spans="1:35" ht="24">
      <c r="A514" s="146" t="s">
        <v>49</v>
      </c>
      <c r="B514" s="147">
        <v>61</v>
      </c>
      <c r="C514" s="253" t="s">
        <v>40</v>
      </c>
      <c r="D514" s="192">
        <v>3211</v>
      </c>
      <c r="E514" s="232" t="s">
        <v>60</v>
      </c>
      <c r="F514" s="202" t="s">
        <v>687</v>
      </c>
      <c r="G514" s="503"/>
      <c r="H514" s="879"/>
      <c r="I514" s="880"/>
      <c r="J514" s="149"/>
      <c r="K514" s="149"/>
      <c r="L514" s="149"/>
      <c r="M514" s="149"/>
      <c r="N514" s="149"/>
      <c r="O514" s="149"/>
      <c r="P514" s="149"/>
      <c r="Q514" s="149"/>
      <c r="R514" s="149"/>
      <c r="S514" s="149"/>
      <c r="T514" s="149"/>
      <c r="U514" s="149"/>
      <c r="V514" s="149"/>
      <c r="W514" s="149"/>
      <c r="X514" s="149"/>
      <c r="Y514" s="149"/>
      <c r="Z514" s="149"/>
      <c r="AA514" s="149"/>
      <c r="AB514" s="149"/>
      <c r="AC514" s="149"/>
      <c r="AD514" s="149"/>
      <c r="AE514" s="149"/>
      <c r="AF514" s="149"/>
      <c r="AG514" s="149"/>
      <c r="AH514" s="149"/>
      <c r="AI514" s="149"/>
    </row>
    <row r="515" spans="1:35" ht="60">
      <c r="A515" s="146" t="s">
        <v>49</v>
      </c>
      <c r="B515" s="147">
        <v>61</v>
      </c>
      <c r="C515" s="253" t="s">
        <v>40</v>
      </c>
      <c r="D515" s="192">
        <v>3221</v>
      </c>
      <c r="E515" s="232" t="s">
        <v>65</v>
      </c>
      <c r="F515" s="202" t="s">
        <v>687</v>
      </c>
      <c r="G515" s="503"/>
      <c r="H515" s="879"/>
      <c r="I515" s="880"/>
      <c r="J515" s="149"/>
      <c r="K515" s="149"/>
      <c r="L515" s="149"/>
      <c r="M515" s="149"/>
      <c r="N515" s="149"/>
      <c r="O515" s="149"/>
      <c r="P515" s="149"/>
      <c r="Q515" s="149"/>
      <c r="R515" s="149"/>
      <c r="S515" s="149"/>
      <c r="T515" s="149"/>
      <c r="U515" s="149"/>
      <c r="V515" s="149"/>
      <c r="W515" s="149"/>
      <c r="X515" s="149"/>
      <c r="Y515" s="149"/>
      <c r="Z515" s="149"/>
      <c r="AA515" s="149"/>
      <c r="AB515" s="149"/>
      <c r="AC515" s="149"/>
      <c r="AD515" s="149"/>
      <c r="AE515" s="149"/>
      <c r="AF515" s="149"/>
      <c r="AG515" s="149"/>
      <c r="AH515" s="149"/>
      <c r="AI515" s="149"/>
    </row>
    <row r="516" spans="1:35" ht="24">
      <c r="A516" s="146" t="s">
        <v>49</v>
      </c>
      <c r="B516" s="147">
        <v>61</v>
      </c>
      <c r="C516" s="253" t="s">
        <v>40</v>
      </c>
      <c r="D516" s="192">
        <v>3222</v>
      </c>
      <c r="E516" s="232" t="s">
        <v>76</v>
      </c>
      <c r="F516" s="202" t="s">
        <v>687</v>
      </c>
      <c r="G516" s="883"/>
      <c r="H516" s="879"/>
      <c r="I516" s="880"/>
      <c r="J516" s="149"/>
      <c r="K516" s="149"/>
      <c r="L516" s="149"/>
      <c r="M516" s="149"/>
      <c r="N516" s="149"/>
      <c r="O516" s="149"/>
      <c r="P516" s="149"/>
      <c r="Q516" s="149"/>
      <c r="R516" s="149"/>
      <c r="S516" s="149"/>
      <c r="T516" s="149"/>
      <c r="U516" s="149"/>
      <c r="V516" s="149"/>
      <c r="W516" s="149"/>
      <c r="X516" s="149"/>
      <c r="Y516" s="149"/>
      <c r="Z516" s="149"/>
      <c r="AA516" s="149"/>
      <c r="AB516" s="149"/>
      <c r="AC516" s="149"/>
      <c r="AD516" s="149"/>
      <c r="AE516" s="149"/>
      <c r="AF516" s="149"/>
      <c r="AG516" s="149"/>
      <c r="AH516" s="149"/>
      <c r="AI516" s="149"/>
    </row>
    <row r="517" spans="1:35" ht="24">
      <c r="A517" s="146" t="s">
        <v>49</v>
      </c>
      <c r="B517" s="147">
        <v>61</v>
      </c>
      <c r="C517" s="253" t="s">
        <v>40</v>
      </c>
      <c r="D517" s="192">
        <v>3239</v>
      </c>
      <c r="E517" s="232" t="s">
        <v>66</v>
      </c>
      <c r="F517" s="202" t="s">
        <v>687</v>
      </c>
      <c r="G517" s="883"/>
      <c r="H517" s="879"/>
      <c r="I517" s="880"/>
      <c r="J517" s="149"/>
      <c r="K517" s="149"/>
      <c r="L517" s="149"/>
      <c r="M517" s="149"/>
      <c r="N517" s="149"/>
      <c r="O517" s="149"/>
      <c r="P517" s="149"/>
      <c r="Q517" s="149"/>
      <c r="R517" s="149"/>
      <c r="S517" s="149"/>
      <c r="T517" s="149"/>
      <c r="U517" s="149"/>
      <c r="V517" s="149"/>
      <c r="W517" s="149"/>
      <c r="X517" s="149"/>
      <c r="Y517" s="149"/>
      <c r="Z517" s="149"/>
      <c r="AA517" s="149"/>
      <c r="AB517" s="149"/>
      <c r="AC517" s="149"/>
      <c r="AD517" s="149"/>
      <c r="AE517" s="149"/>
      <c r="AF517" s="149"/>
      <c r="AG517" s="149"/>
      <c r="AH517" s="149"/>
      <c r="AI517" s="149"/>
    </row>
    <row r="518" spans="1:35" ht="36.75" thickBot="1">
      <c r="A518" s="198" t="s">
        <v>49</v>
      </c>
      <c r="B518" s="199">
        <v>61</v>
      </c>
      <c r="C518" s="260" t="s">
        <v>40</v>
      </c>
      <c r="D518" s="200">
        <v>4224</v>
      </c>
      <c r="E518" s="237" t="s">
        <v>73</v>
      </c>
      <c r="F518" s="203" t="s">
        <v>687</v>
      </c>
      <c r="G518" s="883"/>
      <c r="H518" s="879"/>
      <c r="I518" s="880"/>
      <c r="J518" s="149"/>
      <c r="K518" s="149"/>
      <c r="L518" s="149"/>
      <c r="M518" s="149"/>
      <c r="N518" s="149"/>
      <c r="O518" s="149"/>
      <c r="P518" s="149"/>
      <c r="Q518" s="149"/>
      <c r="R518" s="149"/>
      <c r="S518" s="149"/>
      <c r="T518" s="149"/>
      <c r="U518" s="149"/>
      <c r="V518" s="149"/>
      <c r="W518" s="149"/>
      <c r="X518" s="149"/>
      <c r="Y518" s="149"/>
      <c r="Z518" s="149"/>
      <c r="AA518" s="149"/>
      <c r="AB518" s="149"/>
      <c r="AC518" s="149"/>
      <c r="AD518" s="149"/>
      <c r="AE518" s="149"/>
      <c r="AF518" s="149"/>
      <c r="AG518" s="149"/>
      <c r="AH518" s="149"/>
      <c r="AI518" s="149"/>
    </row>
    <row r="519" spans="1:35" ht="12.75" thickBot="1">
      <c r="A519" s="157" t="s">
        <v>49</v>
      </c>
      <c r="B519" s="158">
        <v>61</v>
      </c>
      <c r="C519" s="256" t="s">
        <v>40</v>
      </c>
      <c r="D519" s="158"/>
      <c r="E519" s="229" t="s">
        <v>161</v>
      </c>
      <c r="F519" s="159" t="s">
        <v>687</v>
      </c>
      <c r="G519" s="881">
        <f>SUM(G512:G518)</f>
        <v>0</v>
      </c>
      <c r="H519" s="876">
        <f t="shared" ref="H519:I519" si="9">SUM(H512:H518)</f>
        <v>0</v>
      </c>
      <c r="I519" s="877">
        <f t="shared" si="9"/>
        <v>0</v>
      </c>
      <c r="J519" s="149"/>
      <c r="K519" s="149"/>
      <c r="L519" s="149"/>
      <c r="M519" s="149"/>
      <c r="N519" s="149"/>
      <c r="O519" s="149"/>
      <c r="P519" s="149"/>
      <c r="Q519" s="149"/>
      <c r="R519" s="149"/>
      <c r="S519" s="149"/>
      <c r="T519" s="149"/>
      <c r="U519" s="149"/>
      <c r="V519" s="149"/>
      <c r="W519" s="149"/>
      <c r="X519" s="149"/>
      <c r="Y519" s="149"/>
      <c r="Z519" s="149"/>
      <c r="AA519" s="149"/>
      <c r="AB519" s="149"/>
      <c r="AC519" s="149"/>
      <c r="AD519" s="149"/>
      <c r="AE519" s="149"/>
      <c r="AF519" s="149"/>
      <c r="AG519" s="149"/>
      <c r="AH519" s="149"/>
      <c r="AI519" s="149"/>
    </row>
    <row r="520" spans="1:35" ht="24">
      <c r="A520" s="146" t="s">
        <v>49</v>
      </c>
      <c r="B520" s="147">
        <v>61</v>
      </c>
      <c r="C520" s="253" t="s">
        <v>40</v>
      </c>
      <c r="D520" s="147">
        <v>3111</v>
      </c>
      <c r="E520" s="226" t="s">
        <v>50</v>
      </c>
      <c r="F520" s="148" t="s">
        <v>686</v>
      </c>
      <c r="G520" s="883"/>
      <c r="H520" s="879"/>
      <c r="I520" s="880"/>
      <c r="J520" s="374"/>
      <c r="K520" s="149"/>
      <c r="L520" s="149"/>
      <c r="M520" s="149"/>
      <c r="N520" s="149"/>
      <c r="O520" s="149"/>
      <c r="P520" s="149"/>
      <c r="Q520" s="149"/>
      <c r="R520" s="149"/>
      <c r="S520" s="149"/>
      <c r="T520" s="149"/>
      <c r="U520" s="149"/>
      <c r="V520" s="149"/>
      <c r="W520" s="149"/>
      <c r="X520" s="149"/>
      <c r="Y520" s="149"/>
      <c r="Z520" s="149"/>
      <c r="AA520" s="149"/>
      <c r="AB520" s="149"/>
      <c r="AC520" s="149"/>
      <c r="AD520" s="149"/>
      <c r="AE520" s="149"/>
      <c r="AF520" s="149"/>
      <c r="AG520" s="149"/>
      <c r="AH520" s="149"/>
      <c r="AI520" s="149"/>
    </row>
    <row r="521" spans="1:35" ht="36">
      <c r="A521" s="150" t="s">
        <v>49</v>
      </c>
      <c r="B521" s="151">
        <v>61</v>
      </c>
      <c r="C521" s="254" t="s">
        <v>40</v>
      </c>
      <c r="D521" s="151">
        <v>3121</v>
      </c>
      <c r="E521" s="227" t="s">
        <v>51</v>
      </c>
      <c r="F521" s="153" t="s">
        <v>686</v>
      </c>
      <c r="G521" s="883"/>
      <c r="H521" s="879"/>
      <c r="I521" s="880"/>
      <c r="J521" s="149"/>
      <c r="K521" s="149"/>
      <c r="L521" s="149"/>
      <c r="M521" s="149"/>
      <c r="N521" s="149"/>
      <c r="O521" s="149"/>
      <c r="P521" s="149"/>
      <c r="Q521" s="149"/>
      <c r="R521" s="149"/>
      <c r="S521" s="149"/>
      <c r="T521" s="149"/>
      <c r="U521" s="149"/>
      <c r="V521" s="149"/>
      <c r="W521" s="149"/>
      <c r="X521" s="149"/>
      <c r="Y521" s="149"/>
      <c r="Z521" s="149"/>
      <c r="AA521" s="149"/>
      <c r="AB521" s="149"/>
      <c r="AC521" s="149"/>
      <c r="AD521" s="149"/>
      <c r="AE521" s="149"/>
      <c r="AF521" s="149"/>
      <c r="AG521" s="149"/>
      <c r="AH521" s="149"/>
      <c r="AI521" s="149"/>
    </row>
    <row r="522" spans="1:35" ht="48">
      <c r="A522" s="150" t="s">
        <v>49</v>
      </c>
      <c r="B522" s="151">
        <v>61</v>
      </c>
      <c r="C522" s="254" t="s">
        <v>40</v>
      </c>
      <c r="D522" s="151">
        <v>3132</v>
      </c>
      <c r="E522" s="227" t="s">
        <v>52</v>
      </c>
      <c r="F522" s="153" t="s">
        <v>686</v>
      </c>
      <c r="G522" s="883"/>
      <c r="H522" s="879"/>
      <c r="I522" s="880"/>
      <c r="J522" s="149"/>
      <c r="K522" s="149"/>
      <c r="L522" s="149"/>
      <c r="M522" s="149"/>
      <c r="N522" s="149"/>
      <c r="O522" s="149"/>
      <c r="P522" s="149"/>
      <c r="Q522" s="149"/>
      <c r="R522" s="149"/>
      <c r="S522" s="149"/>
      <c r="T522" s="149"/>
      <c r="U522" s="149"/>
      <c r="V522" s="149"/>
      <c r="W522" s="149"/>
      <c r="X522" s="149"/>
      <c r="Y522" s="149"/>
      <c r="Z522" s="149"/>
      <c r="AA522" s="149"/>
      <c r="AB522" s="149"/>
      <c r="AC522" s="149"/>
      <c r="AD522" s="149"/>
      <c r="AE522" s="149"/>
      <c r="AF522" s="149"/>
      <c r="AG522" s="149"/>
      <c r="AH522" s="149"/>
      <c r="AI522" s="149"/>
    </row>
    <row r="523" spans="1:35" ht="24">
      <c r="A523" s="150" t="s">
        <v>49</v>
      </c>
      <c r="B523" s="151">
        <v>61</v>
      </c>
      <c r="C523" s="254" t="s">
        <v>40</v>
      </c>
      <c r="D523" s="151">
        <v>3211</v>
      </c>
      <c r="E523" s="227" t="s">
        <v>60</v>
      </c>
      <c r="F523" s="153" t="s">
        <v>686</v>
      </c>
      <c r="G523" s="883"/>
      <c r="H523" s="879"/>
      <c r="I523" s="880"/>
      <c r="J523" s="149"/>
      <c r="K523" s="149"/>
      <c r="L523" s="149"/>
      <c r="M523" s="149"/>
      <c r="N523" s="149"/>
      <c r="O523" s="149"/>
      <c r="P523" s="149"/>
      <c r="Q523" s="149"/>
      <c r="R523" s="149"/>
      <c r="S523" s="149"/>
      <c r="T523" s="149"/>
      <c r="U523" s="149"/>
      <c r="V523" s="149"/>
      <c r="W523" s="149"/>
      <c r="X523" s="149"/>
      <c r="Y523" s="149"/>
      <c r="Z523" s="149"/>
      <c r="AA523" s="149"/>
      <c r="AB523" s="149"/>
      <c r="AC523" s="149"/>
      <c r="AD523" s="149"/>
      <c r="AE523" s="149"/>
      <c r="AF523" s="149"/>
      <c r="AG523" s="149"/>
      <c r="AH523" s="149"/>
      <c r="AI523" s="149"/>
    </row>
    <row r="524" spans="1:35" ht="72">
      <c r="A524" s="150" t="s">
        <v>49</v>
      </c>
      <c r="B524" s="151">
        <v>61</v>
      </c>
      <c r="C524" s="254" t="s">
        <v>40</v>
      </c>
      <c r="D524" s="151">
        <v>3212</v>
      </c>
      <c r="E524" s="227" t="s">
        <v>53</v>
      </c>
      <c r="F524" s="153" t="s">
        <v>686</v>
      </c>
      <c r="G524" s="883"/>
      <c r="H524" s="879"/>
      <c r="I524" s="880"/>
      <c r="J524" s="149"/>
      <c r="K524" s="149"/>
      <c r="L524" s="149"/>
      <c r="M524" s="149"/>
      <c r="N524" s="149"/>
      <c r="O524" s="149"/>
      <c r="P524" s="149"/>
      <c r="Q524" s="149"/>
      <c r="R524" s="149"/>
      <c r="S524" s="149"/>
      <c r="T524" s="149"/>
      <c r="U524" s="149"/>
      <c r="V524" s="149"/>
      <c r="W524" s="149"/>
      <c r="X524" s="149"/>
      <c r="Y524" s="149"/>
      <c r="Z524" s="149"/>
      <c r="AA524" s="149"/>
      <c r="AB524" s="149"/>
      <c r="AC524" s="149"/>
      <c r="AD524" s="149"/>
      <c r="AE524" s="149"/>
      <c r="AF524" s="149"/>
      <c r="AG524" s="149"/>
      <c r="AH524" s="149"/>
      <c r="AI524" s="149"/>
    </row>
    <row r="525" spans="1:35" ht="36">
      <c r="A525" s="150" t="s">
        <v>49</v>
      </c>
      <c r="B525" s="151">
        <v>61</v>
      </c>
      <c r="C525" s="254" t="s">
        <v>40</v>
      </c>
      <c r="D525" s="151">
        <v>3213</v>
      </c>
      <c r="E525" s="227" t="s">
        <v>64</v>
      </c>
      <c r="F525" s="153" t="s">
        <v>686</v>
      </c>
      <c r="G525" s="883"/>
      <c r="H525" s="879"/>
      <c r="I525" s="880"/>
      <c r="J525" s="149"/>
      <c r="K525" s="149"/>
      <c r="L525" s="149"/>
      <c r="M525" s="149"/>
      <c r="N525" s="149"/>
      <c r="O525" s="149"/>
      <c r="P525" s="149"/>
      <c r="Q525" s="149"/>
      <c r="R525" s="149"/>
      <c r="S525" s="149"/>
      <c r="T525" s="149"/>
      <c r="U525" s="149"/>
      <c r="V525" s="149"/>
      <c r="W525" s="149"/>
      <c r="X525" s="149"/>
      <c r="Y525" s="149"/>
      <c r="Z525" s="149"/>
      <c r="AA525" s="149"/>
      <c r="AB525" s="149"/>
      <c r="AC525" s="149"/>
      <c r="AD525" s="149"/>
      <c r="AE525" s="149"/>
      <c r="AF525" s="149"/>
      <c r="AG525" s="149"/>
      <c r="AH525" s="149"/>
      <c r="AI525" s="149"/>
    </row>
    <row r="526" spans="1:35" ht="60">
      <c r="A526" s="150" t="s">
        <v>49</v>
      </c>
      <c r="B526" s="151">
        <v>61</v>
      </c>
      <c r="C526" s="254" t="s">
        <v>40</v>
      </c>
      <c r="D526" s="151">
        <v>3221</v>
      </c>
      <c r="E526" s="227" t="s">
        <v>65</v>
      </c>
      <c r="F526" s="153" t="s">
        <v>686</v>
      </c>
      <c r="G526" s="883"/>
      <c r="H526" s="879">
        <v>5720</v>
      </c>
      <c r="I526" s="880">
        <v>5720</v>
      </c>
      <c r="J526" s="149"/>
      <c r="K526" s="149"/>
      <c r="L526" s="149"/>
      <c r="M526" s="149"/>
      <c r="N526" s="149"/>
      <c r="O526" s="149"/>
      <c r="P526" s="149"/>
      <c r="Q526" s="149"/>
      <c r="R526" s="149"/>
      <c r="S526" s="149"/>
      <c r="T526" s="149"/>
      <c r="U526" s="149"/>
      <c r="V526" s="149"/>
      <c r="W526" s="149"/>
      <c r="X526" s="149"/>
      <c r="Y526" s="149"/>
      <c r="Z526" s="149"/>
      <c r="AA526" s="149"/>
      <c r="AB526" s="149"/>
      <c r="AC526" s="149"/>
      <c r="AD526" s="149"/>
      <c r="AE526" s="149"/>
      <c r="AF526" s="149"/>
      <c r="AG526" s="149"/>
      <c r="AH526" s="149"/>
      <c r="AI526" s="149"/>
    </row>
    <row r="527" spans="1:35" ht="24">
      <c r="A527" s="150" t="s">
        <v>49</v>
      </c>
      <c r="B527" s="151">
        <v>61</v>
      </c>
      <c r="C527" s="254" t="s">
        <v>40</v>
      </c>
      <c r="D527" s="151">
        <v>3222</v>
      </c>
      <c r="E527" s="227" t="s">
        <v>76</v>
      </c>
      <c r="F527" s="153" t="s">
        <v>686</v>
      </c>
      <c r="G527" s="883"/>
      <c r="H527" s="879"/>
      <c r="I527" s="880"/>
      <c r="J527" s="149"/>
      <c r="K527" s="149"/>
      <c r="L527" s="149"/>
      <c r="M527" s="149"/>
      <c r="N527" s="149"/>
      <c r="O527" s="149"/>
      <c r="P527" s="149"/>
      <c r="Q527" s="149"/>
      <c r="R527" s="149"/>
      <c r="S527" s="149"/>
      <c r="T527" s="149"/>
      <c r="U527" s="149"/>
      <c r="V527" s="149"/>
      <c r="W527" s="149"/>
      <c r="X527" s="149"/>
      <c r="Y527" s="149"/>
      <c r="Z527" s="149"/>
      <c r="AA527" s="149"/>
      <c r="AB527" s="149"/>
      <c r="AC527" s="149"/>
      <c r="AD527" s="149"/>
      <c r="AE527" s="149"/>
      <c r="AF527" s="149"/>
      <c r="AG527" s="149"/>
      <c r="AH527" s="149"/>
      <c r="AI527" s="149"/>
    </row>
    <row r="528" spans="1:35">
      <c r="A528" s="856" t="s">
        <v>49</v>
      </c>
      <c r="B528" s="854">
        <v>61</v>
      </c>
      <c r="C528" s="857" t="s">
        <v>40</v>
      </c>
      <c r="D528" s="854">
        <v>3223</v>
      </c>
      <c r="E528" s="855" t="s">
        <v>77</v>
      </c>
      <c r="F528" s="863" t="s">
        <v>686</v>
      </c>
      <c r="G528" s="883"/>
      <c r="H528" s="879"/>
      <c r="I528" s="880"/>
      <c r="J528" s="149"/>
      <c r="K528" s="149"/>
      <c r="L528" s="149"/>
      <c r="M528" s="149"/>
      <c r="N528" s="149"/>
      <c r="O528" s="149"/>
      <c r="P528" s="149"/>
      <c r="Q528" s="149"/>
      <c r="R528" s="149"/>
      <c r="S528" s="149"/>
      <c r="T528" s="149"/>
      <c r="U528" s="149"/>
      <c r="V528" s="149"/>
      <c r="W528" s="149"/>
      <c r="X528" s="149"/>
      <c r="Y528" s="149"/>
      <c r="Z528" s="149"/>
      <c r="AA528" s="149"/>
      <c r="AB528" s="149"/>
      <c r="AC528" s="149"/>
      <c r="AD528" s="149"/>
      <c r="AE528" s="149"/>
      <c r="AF528" s="149"/>
      <c r="AG528" s="149"/>
      <c r="AH528" s="149"/>
      <c r="AI528" s="149"/>
    </row>
    <row r="529" spans="1:35" ht="36">
      <c r="A529" s="150" t="s">
        <v>49</v>
      </c>
      <c r="B529" s="151">
        <v>61</v>
      </c>
      <c r="C529" s="254" t="s">
        <v>40</v>
      </c>
      <c r="D529" s="151">
        <v>3224</v>
      </c>
      <c r="E529" s="227" t="s">
        <v>714</v>
      </c>
      <c r="F529" s="153" t="s">
        <v>686</v>
      </c>
      <c r="G529" s="883"/>
      <c r="H529" s="879">
        <v>137.72</v>
      </c>
      <c r="I529" s="880">
        <v>138</v>
      </c>
      <c r="J529" s="149"/>
      <c r="K529" s="149"/>
      <c r="L529" s="149"/>
      <c r="M529" s="149"/>
      <c r="N529" s="149"/>
      <c r="O529" s="149"/>
      <c r="P529" s="149"/>
      <c r="Q529" s="149"/>
      <c r="R529" s="149"/>
      <c r="S529" s="149"/>
      <c r="T529" s="149"/>
      <c r="U529" s="149"/>
      <c r="V529" s="149"/>
      <c r="W529" s="149"/>
      <c r="X529" s="149"/>
      <c r="Y529" s="149"/>
      <c r="Z529" s="149"/>
      <c r="AA529" s="149"/>
      <c r="AB529" s="149"/>
      <c r="AC529" s="149"/>
      <c r="AD529" s="149"/>
      <c r="AE529" s="149"/>
      <c r="AF529" s="149"/>
      <c r="AG529" s="149"/>
      <c r="AH529" s="149"/>
      <c r="AI529" s="149"/>
    </row>
    <row r="530" spans="1:35" ht="36">
      <c r="A530" s="150" t="s">
        <v>49</v>
      </c>
      <c r="B530" s="151">
        <v>61</v>
      </c>
      <c r="C530" s="254" t="s">
        <v>40</v>
      </c>
      <c r="D530" s="151">
        <v>3225</v>
      </c>
      <c r="E530" s="227" t="s">
        <v>78</v>
      </c>
      <c r="F530" s="153" t="s">
        <v>686</v>
      </c>
      <c r="G530" s="883"/>
      <c r="H530" s="879"/>
      <c r="I530" s="880"/>
      <c r="J530" s="149"/>
      <c r="K530" s="149"/>
      <c r="L530" s="149"/>
      <c r="M530" s="149"/>
      <c r="N530" s="149"/>
      <c r="O530" s="149"/>
      <c r="P530" s="149"/>
      <c r="Q530" s="149"/>
      <c r="R530" s="149"/>
      <c r="S530" s="149"/>
      <c r="T530" s="149"/>
      <c r="U530" s="149"/>
      <c r="V530" s="149"/>
      <c r="W530" s="149"/>
      <c r="X530" s="149"/>
      <c r="Y530" s="149"/>
      <c r="Z530" s="149"/>
      <c r="AA530" s="149"/>
      <c r="AB530" s="149"/>
      <c r="AC530" s="149"/>
      <c r="AD530" s="149"/>
      <c r="AE530" s="149"/>
      <c r="AF530" s="149"/>
      <c r="AG530" s="149"/>
      <c r="AH530" s="149"/>
      <c r="AI530" s="149"/>
    </row>
    <row r="531" spans="1:35" ht="48">
      <c r="A531" s="150" t="s">
        <v>49</v>
      </c>
      <c r="B531" s="151">
        <v>61</v>
      </c>
      <c r="C531" s="254" t="s">
        <v>40</v>
      </c>
      <c r="D531" s="151">
        <v>3231</v>
      </c>
      <c r="E531" s="227" t="s">
        <v>79</v>
      </c>
      <c r="F531" s="153" t="s">
        <v>686</v>
      </c>
      <c r="G531" s="883"/>
      <c r="H531" s="879"/>
      <c r="I531" s="880"/>
      <c r="J531" s="149"/>
      <c r="K531" s="149"/>
      <c r="L531" s="149"/>
      <c r="M531" s="149"/>
      <c r="N531" s="149"/>
      <c r="O531" s="149"/>
      <c r="P531" s="149"/>
      <c r="Q531" s="149"/>
      <c r="R531" s="149"/>
      <c r="S531" s="149"/>
      <c r="T531" s="149"/>
      <c r="U531" s="149"/>
      <c r="V531" s="149"/>
      <c r="W531" s="149"/>
      <c r="X531" s="149"/>
      <c r="Y531" s="149"/>
      <c r="Z531" s="149"/>
      <c r="AA531" s="149"/>
      <c r="AB531" s="149"/>
      <c r="AC531" s="149"/>
      <c r="AD531" s="149"/>
      <c r="AE531" s="149"/>
      <c r="AF531" s="149"/>
      <c r="AG531" s="149"/>
      <c r="AH531" s="149"/>
      <c r="AI531" s="149"/>
    </row>
    <row r="532" spans="1:35" ht="48">
      <c r="A532" s="150" t="s">
        <v>49</v>
      </c>
      <c r="B532" s="151">
        <v>61</v>
      </c>
      <c r="C532" s="254" t="s">
        <v>40</v>
      </c>
      <c r="D532" s="151">
        <v>3232</v>
      </c>
      <c r="E532" s="227" t="s">
        <v>80</v>
      </c>
      <c r="F532" s="153" t="s">
        <v>686</v>
      </c>
      <c r="G532" s="883"/>
      <c r="H532" s="879"/>
      <c r="I532" s="880"/>
      <c r="J532" s="149"/>
      <c r="K532" s="149"/>
      <c r="L532" s="149"/>
      <c r="M532" s="149"/>
      <c r="N532" s="149"/>
      <c r="O532" s="149"/>
      <c r="P532" s="149"/>
      <c r="Q532" s="149"/>
      <c r="R532" s="149"/>
      <c r="S532" s="149"/>
      <c r="T532" s="149"/>
      <c r="U532" s="149"/>
      <c r="V532" s="149"/>
      <c r="W532" s="149"/>
      <c r="X532" s="149"/>
      <c r="Y532" s="149"/>
      <c r="Z532" s="149"/>
      <c r="AA532" s="149"/>
      <c r="AB532" s="149"/>
      <c r="AC532" s="149"/>
      <c r="AD532" s="149"/>
      <c r="AE532" s="149"/>
      <c r="AF532" s="149"/>
      <c r="AG532" s="149"/>
      <c r="AH532" s="149"/>
      <c r="AI532" s="149"/>
    </row>
    <row r="533" spans="1:35" ht="36">
      <c r="A533" s="150" t="s">
        <v>49</v>
      </c>
      <c r="B533" s="151">
        <v>61</v>
      </c>
      <c r="C533" s="254" t="s">
        <v>40</v>
      </c>
      <c r="D533" s="151">
        <v>3233</v>
      </c>
      <c r="E533" s="227" t="s">
        <v>81</v>
      </c>
      <c r="F533" s="153" t="s">
        <v>686</v>
      </c>
      <c r="G533" s="883"/>
      <c r="H533" s="879"/>
      <c r="I533" s="880"/>
      <c r="J533" s="149"/>
      <c r="K533" s="149"/>
      <c r="L533" s="149"/>
      <c r="M533" s="149"/>
      <c r="N533" s="149"/>
      <c r="O533" s="149"/>
      <c r="P533" s="149"/>
      <c r="Q533" s="149"/>
      <c r="R533" s="149"/>
      <c r="S533" s="149"/>
      <c r="T533" s="149"/>
      <c r="U533" s="149"/>
      <c r="V533" s="149"/>
      <c r="W533" s="149"/>
      <c r="X533" s="149"/>
      <c r="Y533" s="149"/>
      <c r="Z533" s="149"/>
      <c r="AA533" s="149"/>
      <c r="AB533" s="149"/>
      <c r="AC533" s="149"/>
      <c r="AD533" s="149"/>
      <c r="AE533" s="149"/>
      <c r="AF533" s="149"/>
      <c r="AG533" s="149"/>
      <c r="AH533" s="149"/>
      <c r="AI533" s="149"/>
    </row>
    <row r="534" spans="1:35" ht="24">
      <c r="A534" s="150" t="s">
        <v>49</v>
      </c>
      <c r="B534" s="151">
        <v>61</v>
      </c>
      <c r="C534" s="254" t="s">
        <v>40</v>
      </c>
      <c r="D534" s="151">
        <v>3235</v>
      </c>
      <c r="E534" s="227" t="s">
        <v>88</v>
      </c>
      <c r="F534" s="153" t="s">
        <v>686</v>
      </c>
      <c r="G534" s="883"/>
      <c r="H534" s="879"/>
      <c r="I534" s="880"/>
      <c r="J534" s="149"/>
      <c r="K534" s="149"/>
      <c r="L534" s="149"/>
      <c r="M534" s="149"/>
      <c r="N534" s="149"/>
      <c r="O534" s="149"/>
      <c r="P534" s="149"/>
      <c r="Q534" s="149"/>
      <c r="R534" s="149"/>
      <c r="S534" s="149"/>
      <c r="T534" s="149"/>
      <c r="U534" s="149"/>
      <c r="V534" s="149"/>
      <c r="W534" s="149"/>
      <c r="X534" s="149"/>
      <c r="Y534" s="149"/>
      <c r="Z534" s="149"/>
      <c r="AA534" s="149"/>
      <c r="AB534" s="149"/>
      <c r="AC534" s="149"/>
      <c r="AD534" s="149"/>
      <c r="AE534" s="149"/>
      <c r="AF534" s="149"/>
      <c r="AG534" s="149"/>
      <c r="AH534" s="149"/>
      <c r="AI534" s="149"/>
    </row>
    <row r="535" spans="1:35" s="166" customFormat="1" ht="36">
      <c r="A535" s="150" t="s">
        <v>49</v>
      </c>
      <c r="B535" s="151">
        <v>61</v>
      </c>
      <c r="C535" s="254" t="s">
        <v>40</v>
      </c>
      <c r="D535" s="151">
        <v>3237</v>
      </c>
      <c r="E535" s="227" t="s">
        <v>62</v>
      </c>
      <c r="F535" s="153" t="s">
        <v>686</v>
      </c>
      <c r="G535" s="883"/>
      <c r="H535" s="879"/>
      <c r="I535" s="880"/>
      <c r="J535" s="165"/>
      <c r="K535" s="165"/>
      <c r="L535" s="165"/>
      <c r="M535" s="165"/>
      <c r="N535" s="165"/>
      <c r="O535" s="165"/>
      <c r="P535" s="165"/>
      <c r="Q535" s="165"/>
      <c r="R535" s="165"/>
      <c r="S535" s="165"/>
      <c r="T535" s="165"/>
      <c r="U535" s="165"/>
      <c r="V535" s="165"/>
      <c r="W535" s="165"/>
      <c r="X535" s="165"/>
      <c r="Y535" s="165"/>
      <c r="Z535" s="165"/>
      <c r="AA535" s="165"/>
      <c r="AB535" s="165"/>
      <c r="AC535" s="165"/>
      <c r="AD535" s="165"/>
      <c r="AE535" s="165"/>
      <c r="AF535" s="165"/>
      <c r="AG535" s="165"/>
      <c r="AH535" s="165"/>
      <c r="AI535" s="165"/>
    </row>
    <row r="536" spans="1:35" ht="24">
      <c r="A536" s="150" t="s">
        <v>49</v>
      </c>
      <c r="B536" s="151">
        <v>61</v>
      </c>
      <c r="C536" s="254" t="s">
        <v>40</v>
      </c>
      <c r="D536" s="151">
        <v>3238</v>
      </c>
      <c r="E536" s="227" t="s">
        <v>82</v>
      </c>
      <c r="F536" s="153" t="s">
        <v>686</v>
      </c>
      <c r="G536" s="883"/>
      <c r="H536" s="879"/>
      <c r="I536" s="880"/>
      <c r="J536" s="149"/>
      <c r="K536" s="149"/>
      <c r="L536" s="149"/>
      <c r="M536" s="149"/>
      <c r="N536" s="149"/>
      <c r="O536" s="149"/>
      <c r="P536" s="149"/>
      <c r="Q536" s="149"/>
      <c r="R536" s="149"/>
      <c r="S536" s="149"/>
      <c r="T536" s="149"/>
      <c r="U536" s="149"/>
      <c r="V536" s="149"/>
      <c r="W536" s="149"/>
      <c r="X536" s="149"/>
      <c r="Y536" s="149"/>
      <c r="Z536" s="149"/>
      <c r="AA536" s="149"/>
      <c r="AB536" s="149"/>
      <c r="AC536" s="149"/>
      <c r="AD536" s="149"/>
      <c r="AE536" s="149"/>
      <c r="AF536" s="149"/>
      <c r="AG536" s="149"/>
      <c r="AH536" s="149"/>
      <c r="AI536" s="149"/>
    </row>
    <row r="537" spans="1:35" ht="24">
      <c r="A537" s="150" t="s">
        <v>49</v>
      </c>
      <c r="B537" s="151">
        <v>61</v>
      </c>
      <c r="C537" s="254" t="s">
        <v>40</v>
      </c>
      <c r="D537" s="151">
        <v>3239</v>
      </c>
      <c r="E537" s="227" t="s">
        <v>66</v>
      </c>
      <c r="F537" s="153" t="s">
        <v>686</v>
      </c>
      <c r="G537" s="883"/>
      <c r="H537" s="879"/>
      <c r="I537" s="880"/>
      <c r="J537" s="149"/>
      <c r="K537" s="149"/>
      <c r="L537" s="149"/>
      <c r="M537" s="149"/>
      <c r="N537" s="149"/>
      <c r="O537" s="149"/>
      <c r="P537" s="149"/>
      <c r="Q537" s="149"/>
      <c r="R537" s="149"/>
      <c r="S537" s="149"/>
      <c r="T537" s="149"/>
      <c r="U537" s="149"/>
      <c r="V537" s="149"/>
      <c r="W537" s="149"/>
      <c r="X537" s="149"/>
      <c r="Y537" s="149"/>
      <c r="Z537" s="149"/>
      <c r="AA537" s="149"/>
      <c r="AB537" s="149"/>
      <c r="AC537" s="149"/>
      <c r="AD537" s="149"/>
      <c r="AE537" s="149"/>
      <c r="AF537" s="149"/>
      <c r="AG537" s="149"/>
      <c r="AH537" s="149"/>
      <c r="AI537" s="149"/>
    </row>
    <row r="538" spans="1:35" ht="60">
      <c r="A538" s="150" t="s">
        <v>49</v>
      </c>
      <c r="B538" s="151">
        <v>61</v>
      </c>
      <c r="C538" s="254" t="s">
        <v>40</v>
      </c>
      <c r="D538" s="151">
        <v>3241</v>
      </c>
      <c r="E538" s="227" t="s">
        <v>67</v>
      </c>
      <c r="F538" s="153" t="s">
        <v>686</v>
      </c>
      <c r="G538" s="883"/>
      <c r="H538" s="879"/>
      <c r="I538" s="880"/>
      <c r="J538" s="149"/>
      <c r="K538" s="149"/>
      <c r="L538" s="149"/>
      <c r="M538" s="149"/>
      <c r="N538" s="149"/>
      <c r="O538" s="149"/>
      <c r="P538" s="149"/>
      <c r="Q538" s="149"/>
      <c r="R538" s="149"/>
      <c r="S538" s="149"/>
      <c r="T538" s="149"/>
      <c r="U538" s="149"/>
      <c r="V538" s="149"/>
      <c r="W538" s="149"/>
      <c r="X538" s="149"/>
      <c r="Y538" s="149"/>
      <c r="Z538" s="149"/>
      <c r="AA538" s="149"/>
      <c r="AB538" s="149"/>
      <c r="AC538" s="149"/>
      <c r="AD538" s="149"/>
      <c r="AE538" s="149"/>
      <c r="AF538" s="149"/>
      <c r="AG538" s="149"/>
      <c r="AH538" s="149"/>
      <c r="AI538" s="149"/>
    </row>
    <row r="539" spans="1:35" s="166" customFormat="1" ht="24">
      <c r="A539" s="150" t="s">
        <v>49</v>
      </c>
      <c r="B539" s="151">
        <v>61</v>
      </c>
      <c r="C539" s="254" t="s">
        <v>40</v>
      </c>
      <c r="D539" s="151">
        <v>3293</v>
      </c>
      <c r="E539" s="227" t="s">
        <v>68</v>
      </c>
      <c r="F539" s="153" t="s">
        <v>686</v>
      </c>
      <c r="G539" s="883"/>
      <c r="H539" s="879">
        <v>4500</v>
      </c>
      <c r="I539" s="880">
        <v>4500</v>
      </c>
      <c r="J539" s="165"/>
      <c r="K539" s="165"/>
      <c r="L539" s="165"/>
      <c r="M539" s="165"/>
      <c r="N539" s="165"/>
      <c r="O539" s="165"/>
      <c r="P539" s="165"/>
      <c r="Q539" s="165"/>
      <c r="R539" s="165"/>
      <c r="S539" s="165"/>
      <c r="T539" s="165"/>
      <c r="U539" s="165"/>
      <c r="V539" s="165"/>
      <c r="W539" s="165"/>
      <c r="X539" s="165"/>
      <c r="Y539" s="165"/>
      <c r="Z539" s="165"/>
      <c r="AA539" s="165"/>
      <c r="AB539" s="165"/>
      <c r="AC539" s="165"/>
      <c r="AD539" s="165"/>
      <c r="AE539" s="165"/>
      <c r="AF539" s="165"/>
      <c r="AG539" s="165"/>
      <c r="AH539" s="165"/>
      <c r="AI539" s="165"/>
    </row>
    <row r="540" spans="1:35" ht="48">
      <c r="A540" s="150" t="s">
        <v>49</v>
      </c>
      <c r="B540" s="151">
        <v>61</v>
      </c>
      <c r="C540" s="254" t="s">
        <v>40</v>
      </c>
      <c r="D540" s="151">
        <v>3299</v>
      </c>
      <c r="E540" s="227" t="s">
        <v>57</v>
      </c>
      <c r="F540" s="153" t="s">
        <v>686</v>
      </c>
      <c r="G540" s="883"/>
      <c r="H540" s="879"/>
      <c r="I540" s="880"/>
      <c r="J540" s="149"/>
      <c r="K540" s="149"/>
      <c r="L540" s="149"/>
      <c r="M540" s="149"/>
      <c r="N540" s="149"/>
      <c r="O540" s="149"/>
      <c r="P540" s="149"/>
      <c r="Q540" s="149"/>
      <c r="R540" s="149"/>
      <c r="S540" s="149"/>
      <c r="T540" s="149"/>
      <c r="U540" s="149"/>
      <c r="V540" s="149"/>
      <c r="W540" s="149"/>
      <c r="X540" s="149"/>
      <c r="Y540" s="149"/>
      <c r="Z540" s="149"/>
      <c r="AA540" s="149"/>
      <c r="AB540" s="149"/>
      <c r="AC540" s="149"/>
      <c r="AD540" s="149"/>
      <c r="AE540" s="149"/>
      <c r="AF540" s="149"/>
      <c r="AG540" s="149"/>
      <c r="AH540" s="149"/>
      <c r="AI540" s="149"/>
    </row>
    <row r="541" spans="1:35" ht="60">
      <c r="A541" s="150" t="s">
        <v>49</v>
      </c>
      <c r="B541" s="151">
        <v>61</v>
      </c>
      <c r="C541" s="254" t="s">
        <v>40</v>
      </c>
      <c r="D541" s="151">
        <v>3431</v>
      </c>
      <c r="E541" s="227" t="s">
        <v>70</v>
      </c>
      <c r="F541" s="153" t="s">
        <v>686</v>
      </c>
      <c r="G541" s="883"/>
      <c r="H541" s="879">
        <v>100</v>
      </c>
      <c r="I541" s="880">
        <v>100</v>
      </c>
      <c r="J541" s="149"/>
      <c r="K541" s="149"/>
      <c r="L541" s="149"/>
      <c r="M541" s="149"/>
      <c r="N541" s="149"/>
      <c r="O541" s="149"/>
      <c r="P541" s="149"/>
      <c r="Q541" s="149"/>
      <c r="R541" s="149"/>
      <c r="S541" s="149"/>
      <c r="T541" s="149"/>
      <c r="U541" s="149"/>
      <c r="V541" s="149"/>
      <c r="W541" s="149"/>
      <c r="X541" s="149"/>
      <c r="Y541" s="149"/>
      <c r="Z541" s="149"/>
      <c r="AA541" s="149"/>
      <c r="AB541" s="149"/>
      <c r="AC541" s="149"/>
      <c r="AD541" s="149"/>
      <c r="AE541" s="149"/>
      <c r="AF541" s="149"/>
      <c r="AG541" s="149"/>
      <c r="AH541" s="149"/>
      <c r="AI541" s="149"/>
    </row>
    <row r="542" spans="1:35" ht="72">
      <c r="A542" s="150" t="s">
        <v>49</v>
      </c>
      <c r="B542" s="151">
        <v>61</v>
      </c>
      <c r="C542" s="254" t="s">
        <v>40</v>
      </c>
      <c r="D542" s="151">
        <v>3432</v>
      </c>
      <c r="E542" s="227" t="s">
        <v>71</v>
      </c>
      <c r="F542" s="153" t="s">
        <v>686</v>
      </c>
      <c r="G542" s="883"/>
      <c r="H542" s="879"/>
      <c r="I542" s="880"/>
      <c r="J542" s="149"/>
      <c r="K542" s="149"/>
      <c r="L542" s="149"/>
      <c r="M542" s="149"/>
      <c r="N542" s="149"/>
      <c r="O542" s="149"/>
      <c r="P542" s="149"/>
      <c r="Q542" s="149"/>
      <c r="R542" s="149"/>
      <c r="S542" s="149"/>
      <c r="T542" s="149"/>
      <c r="U542" s="149"/>
      <c r="V542" s="149"/>
      <c r="W542" s="149"/>
      <c r="X542" s="149"/>
      <c r="Y542" s="149"/>
      <c r="Z542" s="149"/>
      <c r="AA542" s="149"/>
      <c r="AB542" s="149"/>
      <c r="AC542" s="149"/>
      <c r="AD542" s="149"/>
      <c r="AE542" s="149"/>
      <c r="AF542" s="149"/>
      <c r="AG542" s="149"/>
      <c r="AH542" s="149"/>
      <c r="AI542" s="149"/>
    </row>
    <row r="543" spans="1:35" ht="48">
      <c r="A543" s="150" t="s">
        <v>49</v>
      </c>
      <c r="B543" s="151">
        <v>61</v>
      </c>
      <c r="C543" s="254" t="s">
        <v>40</v>
      </c>
      <c r="D543" s="151">
        <v>3721</v>
      </c>
      <c r="E543" s="227" t="s">
        <v>84</v>
      </c>
      <c r="F543" s="153" t="s">
        <v>686</v>
      </c>
      <c r="G543" s="883"/>
      <c r="H543" s="879"/>
      <c r="I543" s="880"/>
      <c r="J543" s="149"/>
      <c r="K543" s="149"/>
      <c r="L543" s="149"/>
      <c r="M543" s="149"/>
      <c r="N543" s="149"/>
      <c r="O543" s="149"/>
      <c r="P543" s="149"/>
      <c r="Q543" s="149"/>
      <c r="R543" s="149"/>
      <c r="S543" s="149"/>
      <c r="T543" s="149"/>
      <c r="U543" s="149"/>
      <c r="V543" s="149"/>
      <c r="W543" s="149"/>
      <c r="X543" s="149"/>
      <c r="Y543" s="149"/>
      <c r="Z543" s="149"/>
      <c r="AA543" s="149"/>
      <c r="AB543" s="149"/>
      <c r="AC543" s="149"/>
      <c r="AD543" s="149"/>
      <c r="AE543" s="149"/>
      <c r="AF543" s="149"/>
      <c r="AG543" s="149"/>
      <c r="AH543" s="149"/>
      <c r="AI543" s="149"/>
    </row>
    <row r="544" spans="1:35" s="166" customFormat="1" ht="36">
      <c r="A544" s="150" t="s">
        <v>49</v>
      </c>
      <c r="B544" s="151">
        <v>61</v>
      </c>
      <c r="C544" s="254" t="s">
        <v>40</v>
      </c>
      <c r="D544" s="151">
        <v>4221</v>
      </c>
      <c r="E544" s="227" t="s">
        <v>63</v>
      </c>
      <c r="F544" s="153" t="s">
        <v>686</v>
      </c>
      <c r="G544" s="883"/>
      <c r="H544" s="879"/>
      <c r="I544" s="880"/>
      <c r="J544" s="165"/>
      <c r="K544" s="165"/>
      <c r="L544" s="165"/>
      <c r="M544" s="165"/>
      <c r="N544" s="165"/>
      <c r="O544" s="165"/>
      <c r="P544" s="165"/>
      <c r="Q544" s="165"/>
      <c r="R544" s="165"/>
      <c r="S544" s="165"/>
      <c r="T544" s="165"/>
      <c r="U544" s="165"/>
      <c r="V544" s="165"/>
      <c r="W544" s="165"/>
      <c r="X544" s="165"/>
      <c r="Y544" s="165"/>
      <c r="Z544" s="165"/>
      <c r="AA544" s="165"/>
      <c r="AB544" s="165"/>
      <c r="AC544" s="165"/>
      <c r="AD544" s="165"/>
      <c r="AE544" s="165"/>
      <c r="AF544" s="165"/>
      <c r="AG544" s="165"/>
      <c r="AH544" s="165"/>
      <c r="AI544" s="165"/>
    </row>
    <row r="545" spans="1:35" ht="36">
      <c r="A545" s="150" t="s">
        <v>49</v>
      </c>
      <c r="B545" s="151">
        <v>61</v>
      </c>
      <c r="C545" s="254" t="s">
        <v>40</v>
      </c>
      <c r="D545" s="151">
        <v>4224</v>
      </c>
      <c r="E545" s="227" t="s">
        <v>73</v>
      </c>
      <c r="F545" s="153" t="s">
        <v>686</v>
      </c>
      <c r="G545" s="883"/>
      <c r="H545" s="879"/>
      <c r="I545" s="880"/>
      <c r="J545" s="149"/>
      <c r="K545" s="149"/>
      <c r="L545" s="149"/>
      <c r="M545" s="149"/>
      <c r="N545" s="149"/>
      <c r="O545" s="149"/>
      <c r="P545" s="149"/>
      <c r="Q545" s="149"/>
      <c r="R545" s="149"/>
      <c r="S545" s="149"/>
      <c r="T545" s="149"/>
      <c r="U545" s="149"/>
      <c r="V545" s="149"/>
      <c r="W545" s="149"/>
      <c r="X545" s="149"/>
      <c r="Y545" s="149"/>
      <c r="Z545" s="149"/>
      <c r="AA545" s="149"/>
      <c r="AB545" s="149"/>
      <c r="AC545" s="149"/>
      <c r="AD545" s="149"/>
      <c r="AE545" s="149"/>
      <c r="AF545" s="149"/>
      <c r="AG545" s="149"/>
      <c r="AH545" s="149"/>
      <c r="AI545" s="149"/>
    </row>
    <row r="546" spans="1:35" ht="36">
      <c r="A546" s="150" t="s">
        <v>49</v>
      </c>
      <c r="B546" s="151">
        <v>61</v>
      </c>
      <c r="C546" s="254" t="s">
        <v>40</v>
      </c>
      <c r="D546" s="151">
        <v>4225</v>
      </c>
      <c r="E546" s="227" t="s">
        <v>85</v>
      </c>
      <c r="F546" s="153" t="s">
        <v>686</v>
      </c>
      <c r="G546" s="883"/>
      <c r="H546" s="879"/>
      <c r="I546" s="880"/>
      <c r="J546" s="149"/>
      <c r="K546" s="149"/>
      <c r="L546" s="149"/>
      <c r="M546" s="149"/>
      <c r="N546" s="149"/>
      <c r="O546" s="149"/>
      <c r="P546" s="149"/>
      <c r="Q546" s="149"/>
      <c r="R546" s="149"/>
      <c r="S546" s="149"/>
      <c r="T546" s="149"/>
      <c r="U546" s="149"/>
      <c r="V546" s="149"/>
      <c r="W546" s="149"/>
      <c r="X546" s="149"/>
      <c r="Y546" s="149"/>
      <c r="Z546" s="149"/>
      <c r="AA546" s="149"/>
      <c r="AB546" s="149"/>
      <c r="AC546" s="149"/>
      <c r="AD546" s="149"/>
      <c r="AE546" s="149"/>
      <c r="AF546" s="149"/>
      <c r="AG546" s="149"/>
      <c r="AH546" s="149"/>
      <c r="AI546" s="149"/>
    </row>
    <row r="547" spans="1:35">
      <c r="A547" s="150" t="s">
        <v>49</v>
      </c>
      <c r="B547" s="151">
        <v>61</v>
      </c>
      <c r="C547" s="254" t="s">
        <v>40</v>
      </c>
      <c r="D547" s="151">
        <v>4241</v>
      </c>
      <c r="E547" s="227" t="s">
        <v>74</v>
      </c>
      <c r="F547" s="153" t="s">
        <v>686</v>
      </c>
      <c r="G547" s="883"/>
      <c r="H547" s="879"/>
      <c r="I547" s="880"/>
      <c r="J547" s="149"/>
      <c r="K547" s="149"/>
      <c r="L547" s="149"/>
      <c r="M547" s="149"/>
      <c r="N547" s="149"/>
      <c r="O547" s="149"/>
      <c r="P547" s="149"/>
      <c r="Q547" s="149"/>
      <c r="R547" s="149"/>
      <c r="S547" s="149"/>
      <c r="T547" s="149"/>
      <c r="U547" s="149"/>
      <c r="V547" s="149"/>
      <c r="W547" s="149"/>
      <c r="X547" s="149"/>
      <c r="Y547" s="149"/>
      <c r="Z547" s="149"/>
      <c r="AA547" s="149"/>
      <c r="AB547" s="149"/>
      <c r="AC547" s="149"/>
      <c r="AD547" s="149"/>
      <c r="AE547" s="149"/>
      <c r="AF547" s="149"/>
      <c r="AG547" s="149"/>
      <c r="AH547" s="149"/>
      <c r="AI547" s="149"/>
    </row>
    <row r="548" spans="1:35" ht="36.75" thickBot="1">
      <c r="A548" s="154" t="s">
        <v>49</v>
      </c>
      <c r="B548" s="155">
        <v>61</v>
      </c>
      <c r="C548" s="255" t="s">
        <v>40</v>
      </c>
      <c r="D548" s="155">
        <v>4262</v>
      </c>
      <c r="E548" s="228" t="s">
        <v>86</v>
      </c>
      <c r="F548" s="156" t="s">
        <v>686</v>
      </c>
      <c r="G548" s="883"/>
      <c r="H548" s="879"/>
      <c r="I548" s="880"/>
      <c r="J548" s="149"/>
      <c r="K548" s="149"/>
      <c r="L548" s="149"/>
      <c r="M548" s="149"/>
      <c r="N548" s="149"/>
      <c r="O548" s="149"/>
      <c r="P548" s="149"/>
      <c r="Q548" s="149"/>
      <c r="R548" s="149"/>
      <c r="S548" s="149"/>
      <c r="T548" s="149"/>
      <c r="U548" s="149"/>
      <c r="V548" s="149"/>
      <c r="W548" s="149"/>
      <c r="X548" s="149"/>
      <c r="Y548" s="149"/>
      <c r="Z548" s="149"/>
      <c r="AA548" s="149"/>
      <c r="AB548" s="149"/>
      <c r="AC548" s="149"/>
      <c r="AD548" s="149"/>
      <c r="AE548" s="149"/>
      <c r="AF548" s="149"/>
      <c r="AG548" s="149"/>
      <c r="AH548" s="149"/>
      <c r="AI548" s="149"/>
    </row>
    <row r="549" spans="1:35" ht="12.75" thickBot="1">
      <c r="A549" s="167" t="s">
        <v>49</v>
      </c>
      <c r="B549" s="168">
        <v>61</v>
      </c>
      <c r="C549" s="257" t="s">
        <v>40</v>
      </c>
      <c r="D549" s="168"/>
      <c r="E549" s="231" t="s">
        <v>161</v>
      </c>
      <c r="F549" s="169" t="s">
        <v>686</v>
      </c>
      <c r="G549" s="887">
        <f>SUM(G520:G548)+G1000</f>
        <v>0</v>
      </c>
      <c r="H549" s="887">
        <f>SUM(H520:H548)+H1000</f>
        <v>39770.050000000003</v>
      </c>
      <c r="I549" s="887">
        <f>SUM(I520:I548)+I1000</f>
        <v>39770</v>
      </c>
      <c r="J549" s="149"/>
      <c r="K549" s="149"/>
      <c r="L549" s="149"/>
      <c r="M549" s="149"/>
      <c r="N549" s="149"/>
      <c r="O549" s="149"/>
      <c r="P549" s="149"/>
      <c r="Q549" s="149"/>
      <c r="R549" s="149"/>
      <c r="S549" s="149"/>
      <c r="T549" s="149"/>
      <c r="U549" s="149"/>
      <c r="V549" s="149"/>
      <c r="W549" s="149"/>
      <c r="X549" s="149"/>
      <c r="Y549" s="149"/>
      <c r="Z549" s="149"/>
      <c r="AA549" s="149"/>
      <c r="AB549" s="149"/>
      <c r="AC549" s="149"/>
      <c r="AD549" s="149"/>
      <c r="AE549" s="149"/>
      <c r="AF549" s="149"/>
      <c r="AG549" s="149"/>
      <c r="AH549" s="149"/>
      <c r="AI549" s="149"/>
    </row>
    <row r="550" spans="1:35" ht="12.75" thickBot="1">
      <c r="A550" s="162" t="s">
        <v>49</v>
      </c>
      <c r="B550" s="163">
        <v>61</v>
      </c>
      <c r="C550" s="243" t="s">
        <v>40</v>
      </c>
      <c r="D550" s="163"/>
      <c r="E550" s="230" t="s">
        <v>737</v>
      </c>
      <c r="F550" s="164"/>
      <c r="G550" s="878">
        <f>G519+G549</f>
        <v>0</v>
      </c>
      <c r="H550" s="878">
        <f t="shared" ref="H550:I550" si="10">H519+H549</f>
        <v>39770.050000000003</v>
      </c>
      <c r="I550" s="878">
        <f t="shared" si="10"/>
        <v>39770</v>
      </c>
      <c r="J550" s="149"/>
      <c r="K550" s="149"/>
      <c r="L550" s="149"/>
      <c r="M550" s="149"/>
      <c r="N550" s="149"/>
      <c r="O550" s="149"/>
      <c r="P550" s="149"/>
      <c r="Q550" s="149"/>
      <c r="R550" s="149"/>
      <c r="S550" s="149"/>
      <c r="T550" s="149"/>
      <c r="U550" s="149"/>
      <c r="V550" s="149"/>
      <c r="W550" s="149"/>
      <c r="X550" s="149"/>
      <c r="Y550" s="149"/>
      <c r="Z550" s="149"/>
      <c r="AA550" s="149"/>
      <c r="AB550" s="149"/>
      <c r="AC550" s="149"/>
      <c r="AD550" s="149"/>
      <c r="AE550" s="149"/>
      <c r="AF550" s="149"/>
      <c r="AG550" s="149"/>
      <c r="AH550" s="149"/>
      <c r="AI550" s="149"/>
    </row>
    <row r="551" spans="1:35" ht="48">
      <c r="A551" s="146" t="s">
        <v>49</v>
      </c>
      <c r="B551" s="147">
        <v>63</v>
      </c>
      <c r="C551" s="253" t="s">
        <v>726</v>
      </c>
      <c r="D551" s="147">
        <v>3431</v>
      </c>
      <c r="E551" s="226" t="s">
        <v>749</v>
      </c>
      <c r="F551" s="148" t="s">
        <v>689</v>
      </c>
      <c r="G551" s="883"/>
      <c r="H551" s="879"/>
      <c r="I551" s="880"/>
      <c r="J551" s="149"/>
      <c r="K551" s="149"/>
      <c r="L551" s="149"/>
      <c r="M551" s="149"/>
      <c r="N551" s="149"/>
      <c r="O551" s="149"/>
      <c r="P551" s="149"/>
      <c r="Q551" s="149"/>
      <c r="R551" s="149"/>
      <c r="S551" s="149"/>
      <c r="T551" s="149"/>
      <c r="U551" s="149"/>
      <c r="V551" s="149"/>
      <c r="W551" s="149"/>
      <c r="X551" s="149"/>
      <c r="Y551" s="149"/>
      <c r="Z551" s="149"/>
      <c r="AA551" s="149"/>
      <c r="AB551" s="149"/>
      <c r="AC551" s="149"/>
      <c r="AD551" s="149"/>
      <c r="AE551" s="149"/>
      <c r="AF551" s="149"/>
      <c r="AG551" s="149"/>
      <c r="AH551" s="149"/>
      <c r="AI551" s="149"/>
    </row>
    <row r="552" spans="1:35" ht="36">
      <c r="A552" s="150" t="s">
        <v>49</v>
      </c>
      <c r="B552" s="151">
        <v>63</v>
      </c>
      <c r="C552" s="254" t="s">
        <v>726</v>
      </c>
      <c r="D552" s="151">
        <v>3432</v>
      </c>
      <c r="E552" s="227" t="s">
        <v>709</v>
      </c>
      <c r="F552" s="153" t="s">
        <v>689</v>
      </c>
      <c r="G552" s="883"/>
      <c r="H552" s="879"/>
      <c r="I552" s="880"/>
      <c r="J552" s="149"/>
      <c r="K552" s="149"/>
      <c r="L552" s="149"/>
      <c r="M552" s="149"/>
      <c r="N552" s="149"/>
      <c r="O552" s="149"/>
      <c r="P552" s="149"/>
      <c r="Q552" s="149"/>
      <c r="R552" s="149"/>
      <c r="S552" s="149"/>
      <c r="T552" s="149"/>
      <c r="U552" s="149"/>
      <c r="V552" s="149"/>
      <c r="W552" s="149"/>
      <c r="X552" s="149"/>
      <c r="Y552" s="149"/>
      <c r="Z552" s="149"/>
      <c r="AA552" s="149"/>
      <c r="AB552" s="149"/>
      <c r="AC552" s="149"/>
      <c r="AD552" s="149"/>
      <c r="AE552" s="149"/>
      <c r="AF552" s="149"/>
      <c r="AG552" s="149"/>
      <c r="AH552" s="149"/>
      <c r="AI552" s="149"/>
    </row>
    <row r="553" spans="1:35" ht="72.75" thickBot="1">
      <c r="A553" s="154" t="s">
        <v>49</v>
      </c>
      <c r="B553" s="155">
        <v>63</v>
      </c>
      <c r="C553" s="255" t="s">
        <v>726</v>
      </c>
      <c r="D553" s="155">
        <v>3693</v>
      </c>
      <c r="E553" s="228" t="s">
        <v>83</v>
      </c>
      <c r="F553" s="156" t="s">
        <v>689</v>
      </c>
      <c r="G553" s="883"/>
      <c r="H553" s="879"/>
      <c r="I553" s="880"/>
      <c r="J553" s="149"/>
      <c r="K553" s="149"/>
      <c r="L553" s="149"/>
      <c r="M553" s="149"/>
      <c r="N553" s="149"/>
      <c r="O553" s="149"/>
      <c r="P553" s="149"/>
      <c r="Q553" s="149"/>
      <c r="R553" s="149"/>
      <c r="S553" s="149"/>
      <c r="T553" s="149"/>
      <c r="U553" s="149"/>
      <c r="V553" s="149"/>
      <c r="W553" s="149"/>
      <c r="X553" s="149"/>
      <c r="Y553" s="149"/>
      <c r="Z553" s="149"/>
      <c r="AA553" s="149"/>
      <c r="AB553" s="149"/>
      <c r="AC553" s="149"/>
      <c r="AD553" s="149"/>
      <c r="AE553" s="149"/>
      <c r="AF553" s="149"/>
      <c r="AG553" s="149"/>
      <c r="AH553" s="149"/>
      <c r="AI553" s="149"/>
    </row>
    <row r="554" spans="1:35" ht="24.75" thickBot="1">
      <c r="A554" s="162" t="s">
        <v>49</v>
      </c>
      <c r="B554" s="163">
        <v>63</v>
      </c>
      <c r="C554" s="243" t="s">
        <v>732</v>
      </c>
      <c r="D554" s="163"/>
      <c r="E554" s="230" t="s">
        <v>738</v>
      </c>
      <c r="F554" s="164"/>
      <c r="G554" s="878">
        <f>G551+G552+G553</f>
        <v>0</v>
      </c>
      <c r="H554" s="884">
        <f t="shared" ref="H554:I554" si="11">H551+H552+H553</f>
        <v>0</v>
      </c>
      <c r="I554" s="890">
        <f t="shared" si="11"/>
        <v>0</v>
      </c>
      <c r="J554" s="149"/>
      <c r="K554" s="149"/>
      <c r="L554" s="149"/>
      <c r="M554" s="149"/>
      <c r="N554" s="149"/>
      <c r="O554" s="149"/>
      <c r="P554" s="149"/>
      <c r="Q554" s="149"/>
      <c r="R554" s="149"/>
      <c r="S554" s="149"/>
      <c r="T554" s="149"/>
      <c r="U554" s="149"/>
      <c r="V554" s="149"/>
      <c r="W554" s="149"/>
      <c r="X554" s="149"/>
      <c r="Y554" s="149"/>
      <c r="Z554" s="149"/>
      <c r="AA554" s="149"/>
      <c r="AB554" s="149"/>
      <c r="AC554" s="149"/>
      <c r="AD554" s="149"/>
      <c r="AE554" s="149"/>
      <c r="AF554" s="149"/>
      <c r="AG554" s="149"/>
      <c r="AH554" s="149"/>
      <c r="AI554" s="149"/>
    </row>
    <row r="555" spans="1:35" ht="72">
      <c r="A555" s="146" t="s">
        <v>49</v>
      </c>
      <c r="B555" s="147">
        <v>71</v>
      </c>
      <c r="C555" s="253" t="s">
        <v>47</v>
      </c>
      <c r="D555" s="147">
        <v>3223</v>
      </c>
      <c r="E555" s="226" t="s">
        <v>77</v>
      </c>
      <c r="F555" s="148" t="s">
        <v>686</v>
      </c>
      <c r="G555" s="883"/>
      <c r="H555" s="879"/>
      <c r="I555" s="880"/>
      <c r="J555" s="149"/>
      <c r="K555" s="149"/>
      <c r="L555" s="149"/>
      <c r="M555" s="149"/>
      <c r="N555" s="149"/>
      <c r="O555" s="149"/>
      <c r="P555" s="149"/>
      <c r="Q555" s="149"/>
      <c r="R555" s="149"/>
      <c r="S555" s="149"/>
      <c r="T555" s="149"/>
      <c r="U555" s="149"/>
      <c r="V555" s="149"/>
      <c r="W555" s="149"/>
      <c r="X555" s="149"/>
      <c r="Y555" s="149"/>
      <c r="Z555" s="149"/>
      <c r="AA555" s="149"/>
      <c r="AB555" s="149"/>
      <c r="AC555" s="149"/>
      <c r="AD555" s="149"/>
      <c r="AE555" s="149"/>
      <c r="AF555" s="149"/>
      <c r="AG555" s="149"/>
      <c r="AH555" s="149"/>
      <c r="AI555" s="149"/>
    </row>
    <row r="556" spans="1:35" ht="12" customHeight="1">
      <c r="A556" s="150" t="s">
        <v>49</v>
      </c>
      <c r="B556" s="151">
        <v>71</v>
      </c>
      <c r="C556" s="254" t="s">
        <v>47</v>
      </c>
      <c r="D556" s="151">
        <v>4221</v>
      </c>
      <c r="E556" s="227" t="s">
        <v>63</v>
      </c>
      <c r="F556" s="153" t="s">
        <v>686</v>
      </c>
      <c r="G556" s="883">
        <v>5000</v>
      </c>
      <c r="H556" s="879">
        <v>81250</v>
      </c>
      <c r="I556" s="880">
        <v>114424</v>
      </c>
      <c r="J556" s="149"/>
      <c r="K556" s="149"/>
      <c r="L556" s="149"/>
      <c r="M556" s="149"/>
      <c r="N556" s="149"/>
      <c r="O556" s="149"/>
      <c r="P556" s="149"/>
      <c r="Q556" s="149"/>
      <c r="R556" s="149"/>
      <c r="S556" s="149"/>
      <c r="T556" s="149"/>
      <c r="U556" s="149"/>
      <c r="V556" s="149"/>
      <c r="W556" s="149"/>
      <c r="X556" s="149"/>
      <c r="Y556" s="149"/>
      <c r="Z556" s="149"/>
      <c r="AA556" s="149"/>
      <c r="AB556" s="149"/>
      <c r="AC556" s="149"/>
      <c r="AD556" s="149"/>
      <c r="AE556" s="149"/>
      <c r="AF556" s="149"/>
      <c r="AG556" s="149"/>
      <c r="AH556" s="149"/>
      <c r="AI556" s="149"/>
    </row>
    <row r="557" spans="1:35" ht="17.25" customHeight="1">
      <c r="A557" s="150" t="s">
        <v>49</v>
      </c>
      <c r="B557" s="151">
        <v>71</v>
      </c>
      <c r="C557" s="254" t="s">
        <v>47</v>
      </c>
      <c r="D557" s="151">
        <v>4241</v>
      </c>
      <c r="E557" s="227" t="s">
        <v>74</v>
      </c>
      <c r="F557" s="153" t="s">
        <v>686</v>
      </c>
      <c r="G557" s="883"/>
      <c r="H557" s="879"/>
      <c r="I557" s="880"/>
      <c r="J557" s="149"/>
      <c r="K557" s="149"/>
      <c r="L557" s="149"/>
      <c r="M557" s="149"/>
      <c r="N557" s="149"/>
      <c r="O557" s="149"/>
      <c r="P557" s="149"/>
      <c r="Q557" s="149"/>
      <c r="R557" s="149"/>
      <c r="S557" s="149"/>
      <c r="T557" s="149"/>
      <c r="U557" s="149"/>
      <c r="V557" s="149"/>
      <c r="W557" s="149"/>
      <c r="X557" s="149"/>
      <c r="Y557" s="149"/>
      <c r="Z557" s="149"/>
      <c r="AA557" s="149"/>
      <c r="AB557" s="149"/>
      <c r="AC557" s="149"/>
      <c r="AD557" s="149"/>
      <c r="AE557" s="149"/>
      <c r="AF557" s="149"/>
      <c r="AG557" s="149"/>
      <c r="AH557" s="149"/>
      <c r="AI557" s="149"/>
    </row>
    <row r="558" spans="1:35" ht="19.5" customHeight="1" thickBot="1">
      <c r="A558" s="154" t="s">
        <v>49</v>
      </c>
      <c r="B558" s="155">
        <v>71</v>
      </c>
      <c r="C558" s="255" t="s">
        <v>47</v>
      </c>
      <c r="D558" s="155">
        <v>4511</v>
      </c>
      <c r="E558" s="228" t="s">
        <v>91</v>
      </c>
      <c r="F558" s="156" t="s">
        <v>686</v>
      </c>
      <c r="G558" s="883"/>
      <c r="H558" s="879"/>
      <c r="I558" s="880"/>
      <c r="J558" s="149"/>
      <c r="K558" s="149"/>
      <c r="L558" s="149"/>
      <c r="M558" s="149"/>
      <c r="N558" s="149"/>
      <c r="O558" s="149"/>
      <c r="P558" s="149"/>
      <c r="Q558" s="149"/>
      <c r="R558" s="149"/>
      <c r="S558" s="149"/>
      <c r="T558" s="149"/>
      <c r="U558" s="149"/>
      <c r="V558" s="149"/>
      <c r="W558" s="149"/>
      <c r="X558" s="149"/>
      <c r="Y558" s="149"/>
      <c r="Z558" s="149"/>
      <c r="AA558" s="149"/>
      <c r="AB558" s="149"/>
      <c r="AC558" s="149"/>
      <c r="AD558" s="149"/>
      <c r="AE558" s="149"/>
      <c r="AF558" s="149"/>
      <c r="AG558" s="149"/>
      <c r="AH558" s="149"/>
      <c r="AI558" s="149"/>
    </row>
    <row r="559" spans="1:35" ht="30.75" customHeight="1" thickBot="1">
      <c r="A559" s="162" t="s">
        <v>49</v>
      </c>
      <c r="B559" s="163">
        <v>71</v>
      </c>
      <c r="C559" s="243" t="s">
        <v>47</v>
      </c>
      <c r="D559" s="163"/>
      <c r="E559" s="230" t="s">
        <v>739</v>
      </c>
      <c r="F559" s="164" t="s">
        <v>686</v>
      </c>
      <c r="G559" s="878">
        <f>SUM(G555:G558)</f>
        <v>5000</v>
      </c>
      <c r="H559" s="884">
        <f t="shared" ref="H559:I559" si="12">SUM(H555:H558)</f>
        <v>81250</v>
      </c>
      <c r="I559" s="884">
        <f t="shared" si="12"/>
        <v>114424</v>
      </c>
      <c r="J559" s="149"/>
      <c r="K559" s="149"/>
      <c r="L559" s="149"/>
      <c r="M559" s="149"/>
      <c r="N559" s="149"/>
      <c r="O559" s="149"/>
      <c r="P559" s="149"/>
      <c r="Q559" s="149"/>
      <c r="R559" s="149"/>
      <c r="S559" s="149"/>
      <c r="T559" s="149"/>
      <c r="U559" s="149"/>
      <c r="V559" s="149"/>
      <c r="W559" s="149"/>
      <c r="X559" s="149"/>
      <c r="Y559" s="149"/>
      <c r="Z559" s="149"/>
      <c r="AA559" s="149"/>
      <c r="AB559" s="149"/>
      <c r="AC559" s="149"/>
      <c r="AD559" s="149"/>
      <c r="AE559" s="149"/>
      <c r="AF559" s="149"/>
      <c r="AG559" s="149"/>
      <c r="AH559" s="149"/>
      <c r="AI559" s="149"/>
    </row>
    <row r="560" spans="1:35" ht="36">
      <c r="A560" s="146" t="s">
        <v>49</v>
      </c>
      <c r="B560" s="147">
        <v>12</v>
      </c>
      <c r="C560" s="253" t="s">
        <v>21</v>
      </c>
      <c r="D560" s="147">
        <v>3111</v>
      </c>
      <c r="E560" s="226" t="s">
        <v>50</v>
      </c>
      <c r="F560" s="148" t="s">
        <v>689</v>
      </c>
      <c r="G560" s="883"/>
      <c r="H560" s="879"/>
      <c r="I560" s="880"/>
      <c r="J560" s="149"/>
      <c r="K560" s="149"/>
      <c r="L560" s="149"/>
      <c r="M560" s="149"/>
      <c r="N560" s="149"/>
      <c r="O560" s="149"/>
      <c r="P560" s="149"/>
      <c r="Q560" s="149"/>
      <c r="R560" s="149"/>
      <c r="S560" s="149"/>
      <c r="T560" s="149"/>
      <c r="U560" s="149"/>
      <c r="V560" s="149"/>
      <c r="W560" s="149"/>
      <c r="X560" s="149"/>
      <c r="Y560" s="149"/>
      <c r="Z560" s="149"/>
      <c r="AA560" s="149"/>
      <c r="AB560" s="149"/>
      <c r="AC560" s="149"/>
      <c r="AD560" s="149"/>
      <c r="AE560" s="149"/>
      <c r="AF560" s="149"/>
      <c r="AG560" s="149"/>
      <c r="AH560" s="149"/>
      <c r="AI560" s="149"/>
    </row>
    <row r="561" spans="1:35" ht="36">
      <c r="A561" s="146" t="s">
        <v>49</v>
      </c>
      <c r="B561" s="147">
        <v>12</v>
      </c>
      <c r="C561" s="253" t="s">
        <v>21</v>
      </c>
      <c r="D561" s="147">
        <v>3112</v>
      </c>
      <c r="E561" s="226" t="s">
        <v>96</v>
      </c>
      <c r="F561" s="148" t="s">
        <v>689</v>
      </c>
      <c r="G561" s="883"/>
      <c r="H561" s="879"/>
      <c r="I561" s="880"/>
      <c r="J561" s="149"/>
      <c r="K561" s="149"/>
      <c r="L561" s="149"/>
      <c r="M561" s="149"/>
      <c r="N561" s="149"/>
      <c r="O561" s="149"/>
      <c r="P561" s="149"/>
      <c r="Q561" s="149"/>
      <c r="R561" s="149"/>
      <c r="S561" s="149"/>
      <c r="T561" s="149"/>
      <c r="U561" s="149"/>
      <c r="V561" s="149"/>
      <c r="W561" s="149"/>
      <c r="X561" s="149"/>
      <c r="Y561" s="149"/>
      <c r="Z561" s="149"/>
      <c r="AA561" s="149"/>
      <c r="AB561" s="149"/>
      <c r="AC561" s="149"/>
      <c r="AD561" s="149"/>
      <c r="AE561" s="149"/>
      <c r="AF561" s="149"/>
      <c r="AG561" s="149"/>
      <c r="AH561" s="149"/>
      <c r="AI561" s="149"/>
    </row>
    <row r="562" spans="1:35" ht="36">
      <c r="A562" s="146" t="s">
        <v>49</v>
      </c>
      <c r="B562" s="147">
        <v>12</v>
      </c>
      <c r="C562" s="253" t="s">
        <v>21</v>
      </c>
      <c r="D562" s="147">
        <v>3113</v>
      </c>
      <c r="E562" s="226" t="s">
        <v>751</v>
      </c>
      <c r="F562" s="148" t="s">
        <v>689</v>
      </c>
      <c r="G562" s="883"/>
      <c r="H562" s="879"/>
      <c r="I562" s="880"/>
      <c r="J562" s="149"/>
      <c r="K562" s="149"/>
      <c r="L562" s="149"/>
      <c r="M562" s="149"/>
      <c r="N562" s="149"/>
      <c r="O562" s="149"/>
      <c r="P562" s="149"/>
      <c r="Q562" s="149"/>
      <c r="R562" s="149"/>
      <c r="S562" s="149"/>
      <c r="T562" s="149"/>
      <c r="U562" s="149"/>
      <c r="V562" s="149"/>
      <c r="W562" s="149"/>
      <c r="X562" s="149"/>
      <c r="Y562" s="149"/>
      <c r="Z562" s="149"/>
      <c r="AA562" s="149"/>
      <c r="AB562" s="149"/>
      <c r="AC562" s="149"/>
      <c r="AD562" s="149"/>
      <c r="AE562" s="149"/>
      <c r="AF562" s="149"/>
      <c r="AG562" s="149"/>
      <c r="AH562" s="149"/>
      <c r="AI562" s="149"/>
    </row>
    <row r="563" spans="1:35" ht="36">
      <c r="A563" s="146" t="s">
        <v>49</v>
      </c>
      <c r="B563" s="147">
        <v>12</v>
      </c>
      <c r="C563" s="253" t="s">
        <v>21</v>
      </c>
      <c r="D563" s="147">
        <v>3114</v>
      </c>
      <c r="E563" s="226" t="s">
        <v>750</v>
      </c>
      <c r="F563" s="148" t="s">
        <v>689</v>
      </c>
      <c r="G563" s="883"/>
      <c r="H563" s="879"/>
      <c r="I563" s="880"/>
      <c r="J563" s="149"/>
      <c r="K563" s="149"/>
      <c r="L563" s="149"/>
      <c r="M563" s="149"/>
      <c r="N563" s="149"/>
      <c r="O563" s="149"/>
      <c r="P563" s="149"/>
      <c r="Q563" s="149"/>
      <c r="R563" s="149"/>
      <c r="S563" s="149"/>
      <c r="T563" s="149"/>
      <c r="U563" s="149"/>
      <c r="V563" s="149"/>
      <c r="W563" s="149"/>
      <c r="X563" s="149"/>
      <c r="Y563" s="149"/>
      <c r="Z563" s="149"/>
      <c r="AA563" s="149"/>
      <c r="AB563" s="149"/>
      <c r="AC563" s="149"/>
      <c r="AD563" s="149"/>
      <c r="AE563" s="149"/>
      <c r="AF563" s="149"/>
      <c r="AG563" s="149"/>
      <c r="AH563" s="149"/>
      <c r="AI563" s="149"/>
    </row>
    <row r="564" spans="1:35" ht="36">
      <c r="A564" s="146" t="s">
        <v>49</v>
      </c>
      <c r="B564" s="147">
        <v>12</v>
      </c>
      <c r="C564" s="253" t="s">
        <v>21</v>
      </c>
      <c r="D564" s="151">
        <v>3121</v>
      </c>
      <c r="E564" s="227" t="s">
        <v>51</v>
      </c>
      <c r="F564" s="148" t="s">
        <v>689</v>
      </c>
      <c r="G564" s="883"/>
      <c r="H564" s="879"/>
      <c r="I564" s="880"/>
      <c r="J564" s="149"/>
      <c r="K564" s="149"/>
      <c r="L564" s="149"/>
      <c r="M564" s="149"/>
      <c r="N564" s="149"/>
      <c r="O564" s="149"/>
      <c r="P564" s="149"/>
      <c r="Q564" s="149"/>
      <c r="R564" s="149"/>
      <c r="S564" s="149"/>
      <c r="T564" s="149"/>
      <c r="U564" s="149"/>
      <c r="V564" s="149"/>
      <c r="W564" s="149"/>
      <c r="X564" s="149"/>
      <c r="Y564" s="149"/>
      <c r="Z564" s="149"/>
      <c r="AA564" s="149"/>
      <c r="AB564" s="149"/>
      <c r="AC564" s="149"/>
      <c r="AD564" s="149"/>
      <c r="AE564" s="149"/>
      <c r="AF564" s="149"/>
      <c r="AG564" s="149"/>
      <c r="AH564" s="149"/>
      <c r="AI564" s="149"/>
    </row>
    <row r="565" spans="1:35" ht="36">
      <c r="A565" s="146" t="s">
        <v>49</v>
      </c>
      <c r="B565" s="147">
        <v>12</v>
      </c>
      <c r="C565" s="253" t="s">
        <v>21</v>
      </c>
      <c r="D565" s="151">
        <v>3131</v>
      </c>
      <c r="E565" s="227" t="s">
        <v>752</v>
      </c>
      <c r="F565" s="148" t="s">
        <v>689</v>
      </c>
      <c r="G565" s="883"/>
      <c r="H565" s="879"/>
      <c r="I565" s="880"/>
      <c r="J565" s="149"/>
      <c r="K565" s="149"/>
      <c r="L565" s="149"/>
      <c r="M565" s="149"/>
      <c r="N565" s="149"/>
      <c r="O565" s="149"/>
      <c r="P565" s="149"/>
      <c r="Q565" s="149"/>
      <c r="R565" s="149"/>
      <c r="S565" s="149"/>
      <c r="T565" s="149"/>
      <c r="U565" s="149"/>
      <c r="V565" s="149"/>
      <c r="W565" s="149"/>
      <c r="X565" s="149"/>
      <c r="Y565" s="149"/>
      <c r="Z565" s="149"/>
      <c r="AA565" s="149"/>
      <c r="AB565" s="149"/>
      <c r="AC565" s="149"/>
      <c r="AD565" s="149"/>
      <c r="AE565" s="149"/>
      <c r="AF565" s="149"/>
      <c r="AG565" s="149"/>
      <c r="AH565" s="149"/>
      <c r="AI565" s="149"/>
    </row>
    <row r="566" spans="1:35" ht="48">
      <c r="A566" s="146" t="s">
        <v>49</v>
      </c>
      <c r="B566" s="147">
        <v>12</v>
      </c>
      <c r="C566" s="253" t="s">
        <v>21</v>
      </c>
      <c r="D566" s="151">
        <v>3132</v>
      </c>
      <c r="E566" s="227" t="s">
        <v>52</v>
      </c>
      <c r="F566" s="148" t="s">
        <v>689</v>
      </c>
      <c r="G566" s="883"/>
      <c r="H566" s="879"/>
      <c r="I566" s="880"/>
      <c r="J566" s="149"/>
      <c r="K566" s="149"/>
      <c r="L566" s="149"/>
      <c r="M566" s="149"/>
      <c r="N566" s="149"/>
      <c r="O566" s="149"/>
      <c r="P566" s="149"/>
      <c r="Q566" s="149"/>
      <c r="R566" s="149"/>
      <c r="S566" s="149"/>
      <c r="T566" s="149"/>
      <c r="U566" s="149"/>
      <c r="V566" s="149"/>
      <c r="W566" s="149"/>
      <c r="X566" s="149"/>
      <c r="Y566" s="149"/>
      <c r="Z566" s="149"/>
      <c r="AA566" s="149"/>
      <c r="AB566" s="149"/>
      <c r="AC566" s="149"/>
      <c r="AD566" s="149"/>
      <c r="AE566" s="149"/>
      <c r="AF566" s="149"/>
      <c r="AG566" s="149"/>
      <c r="AH566" s="149"/>
      <c r="AI566" s="149"/>
    </row>
    <row r="567" spans="1:35" ht="72">
      <c r="A567" s="146" t="s">
        <v>49</v>
      </c>
      <c r="B567" s="147">
        <v>12</v>
      </c>
      <c r="C567" s="253" t="s">
        <v>21</v>
      </c>
      <c r="D567" s="151">
        <v>3133</v>
      </c>
      <c r="E567" s="227" t="s">
        <v>753</v>
      </c>
      <c r="F567" s="148" t="s">
        <v>689</v>
      </c>
      <c r="G567" s="883"/>
      <c r="H567" s="879"/>
      <c r="I567" s="880"/>
      <c r="J567" s="149"/>
      <c r="K567" s="149"/>
      <c r="L567" s="149"/>
      <c r="M567" s="149"/>
      <c r="N567" s="149"/>
      <c r="O567" s="149"/>
      <c r="P567" s="149"/>
      <c r="Q567" s="149"/>
      <c r="R567" s="149"/>
      <c r="S567" s="149"/>
      <c r="T567" s="149"/>
      <c r="U567" s="149"/>
      <c r="V567" s="149"/>
      <c r="W567" s="149"/>
      <c r="X567" s="149"/>
      <c r="Y567" s="149"/>
      <c r="Z567" s="149"/>
      <c r="AA567" s="149"/>
      <c r="AB567" s="149"/>
      <c r="AC567" s="149"/>
      <c r="AD567" s="149"/>
      <c r="AE567" s="149"/>
      <c r="AF567" s="149"/>
      <c r="AG567" s="149"/>
      <c r="AH567" s="149"/>
      <c r="AI567" s="149"/>
    </row>
    <row r="568" spans="1:35" ht="36">
      <c r="A568" s="146" t="s">
        <v>49</v>
      </c>
      <c r="B568" s="147">
        <v>12</v>
      </c>
      <c r="C568" s="253" t="s">
        <v>21</v>
      </c>
      <c r="D568" s="151">
        <v>3211</v>
      </c>
      <c r="E568" s="227" t="s">
        <v>60</v>
      </c>
      <c r="F568" s="148" t="s">
        <v>689</v>
      </c>
      <c r="G568" s="883"/>
      <c r="H568" s="879"/>
      <c r="I568" s="880"/>
      <c r="J568" s="149"/>
      <c r="K568" s="149"/>
      <c r="L568" s="149"/>
      <c r="M568" s="149"/>
      <c r="N568" s="149"/>
      <c r="O568" s="149"/>
      <c r="P568" s="149"/>
      <c r="Q568" s="149"/>
      <c r="R568" s="149"/>
      <c r="S568" s="149"/>
      <c r="T568" s="149"/>
      <c r="U568" s="149"/>
      <c r="V568" s="149"/>
      <c r="W568" s="149"/>
      <c r="X568" s="149"/>
      <c r="Y568" s="149"/>
      <c r="Z568" s="149"/>
      <c r="AA568" s="149"/>
      <c r="AB568" s="149"/>
      <c r="AC568" s="149"/>
      <c r="AD568" s="149"/>
      <c r="AE568" s="149"/>
      <c r="AF568" s="149"/>
      <c r="AG568" s="149"/>
      <c r="AH568" s="149"/>
      <c r="AI568" s="149"/>
    </row>
    <row r="569" spans="1:35" ht="60">
      <c r="A569" s="146" t="s">
        <v>49</v>
      </c>
      <c r="B569" s="147">
        <v>12</v>
      </c>
      <c r="C569" s="253" t="s">
        <v>21</v>
      </c>
      <c r="D569" s="151">
        <v>3212</v>
      </c>
      <c r="E569" s="227" t="s">
        <v>754</v>
      </c>
      <c r="F569" s="148" t="s">
        <v>689</v>
      </c>
      <c r="G569" s="883"/>
      <c r="H569" s="879"/>
      <c r="I569" s="880"/>
      <c r="J569" s="149"/>
      <c r="K569" s="149"/>
      <c r="L569" s="149"/>
      <c r="M569" s="149"/>
      <c r="N569" s="149"/>
      <c r="O569" s="149"/>
      <c r="P569" s="149"/>
      <c r="Q569" s="149"/>
      <c r="R569" s="149"/>
      <c r="S569" s="149"/>
      <c r="T569" s="149"/>
      <c r="U569" s="149"/>
      <c r="V569" s="149"/>
      <c r="W569" s="149"/>
      <c r="X569" s="149"/>
      <c r="Y569" s="149"/>
      <c r="Z569" s="149"/>
      <c r="AA569" s="149"/>
      <c r="AB569" s="149"/>
      <c r="AC569" s="149"/>
      <c r="AD569" s="149"/>
      <c r="AE569" s="149"/>
      <c r="AF569" s="149"/>
      <c r="AG569" s="149"/>
      <c r="AH569" s="149"/>
      <c r="AI569" s="149"/>
    </row>
    <row r="570" spans="1:35" ht="36">
      <c r="A570" s="146" t="s">
        <v>49</v>
      </c>
      <c r="B570" s="147">
        <v>12</v>
      </c>
      <c r="C570" s="253" t="s">
        <v>21</v>
      </c>
      <c r="D570" s="151">
        <v>3213</v>
      </c>
      <c r="E570" s="227" t="s">
        <v>64</v>
      </c>
      <c r="F570" s="148" t="s">
        <v>689</v>
      </c>
      <c r="G570" s="883"/>
      <c r="H570" s="879"/>
      <c r="I570" s="880"/>
      <c r="J570" s="149"/>
      <c r="K570" s="149"/>
      <c r="L570" s="149"/>
      <c r="M570" s="149"/>
      <c r="N570" s="149"/>
      <c r="O570" s="149"/>
      <c r="P570" s="149"/>
      <c r="Q570" s="149"/>
      <c r="R570" s="149"/>
      <c r="S570" s="149"/>
      <c r="T570" s="149"/>
      <c r="U570" s="149"/>
      <c r="V570" s="149"/>
      <c r="W570" s="149"/>
      <c r="X570" s="149"/>
      <c r="Y570" s="149"/>
      <c r="Z570" s="149"/>
      <c r="AA570" s="149"/>
      <c r="AB570" s="149"/>
      <c r="AC570" s="149"/>
      <c r="AD570" s="149"/>
      <c r="AE570" s="149"/>
      <c r="AF570" s="149"/>
      <c r="AG570" s="149"/>
      <c r="AH570" s="149"/>
      <c r="AI570" s="149"/>
    </row>
    <row r="571" spans="1:35" ht="48">
      <c r="A571" s="146" t="s">
        <v>49</v>
      </c>
      <c r="B571" s="147">
        <v>12</v>
      </c>
      <c r="C571" s="253" t="s">
        <v>21</v>
      </c>
      <c r="D571" s="151">
        <v>3214</v>
      </c>
      <c r="E571" s="227" t="s">
        <v>75</v>
      </c>
      <c r="F571" s="148" t="s">
        <v>689</v>
      </c>
      <c r="G571" s="883"/>
      <c r="H571" s="879"/>
      <c r="I571" s="880"/>
      <c r="J571" s="149"/>
      <c r="K571" s="149"/>
      <c r="L571" s="149"/>
      <c r="M571" s="149"/>
      <c r="N571" s="149"/>
      <c r="O571" s="149"/>
      <c r="P571" s="149"/>
      <c r="Q571" s="149"/>
      <c r="R571" s="149"/>
      <c r="S571" s="149"/>
      <c r="T571" s="149"/>
      <c r="U571" s="149"/>
      <c r="V571" s="149"/>
      <c r="W571" s="149"/>
      <c r="X571" s="149"/>
      <c r="Y571" s="149"/>
      <c r="Z571" s="149"/>
      <c r="AA571" s="149"/>
      <c r="AB571" s="149"/>
      <c r="AC571" s="149"/>
      <c r="AD571" s="149"/>
      <c r="AE571" s="149"/>
      <c r="AF571" s="149"/>
      <c r="AG571" s="149"/>
      <c r="AH571" s="149"/>
      <c r="AI571" s="149"/>
    </row>
    <row r="572" spans="1:35" ht="60">
      <c r="A572" s="146" t="s">
        <v>49</v>
      </c>
      <c r="B572" s="147">
        <v>12</v>
      </c>
      <c r="C572" s="253" t="s">
        <v>21</v>
      </c>
      <c r="D572" s="151">
        <v>3221</v>
      </c>
      <c r="E572" s="227" t="s">
        <v>65</v>
      </c>
      <c r="F572" s="148" t="s">
        <v>689</v>
      </c>
      <c r="G572" s="883"/>
      <c r="H572" s="879"/>
      <c r="I572" s="880"/>
      <c r="J572" s="149"/>
      <c r="K572" s="149"/>
      <c r="L572" s="149"/>
      <c r="M572" s="149"/>
      <c r="N572" s="149"/>
      <c r="O572" s="149"/>
      <c r="P572" s="149"/>
      <c r="Q572" s="149"/>
      <c r="R572" s="149"/>
      <c r="S572" s="149"/>
      <c r="T572" s="149"/>
      <c r="U572" s="149"/>
      <c r="V572" s="149"/>
      <c r="W572" s="149"/>
      <c r="X572" s="149"/>
      <c r="Y572" s="149"/>
      <c r="Z572" s="149"/>
      <c r="AA572" s="149"/>
      <c r="AB572" s="149"/>
      <c r="AC572" s="149"/>
      <c r="AD572" s="149"/>
      <c r="AE572" s="149"/>
      <c r="AF572" s="149"/>
      <c r="AG572" s="149"/>
      <c r="AH572" s="149"/>
      <c r="AI572" s="149"/>
    </row>
    <row r="573" spans="1:35" ht="36">
      <c r="A573" s="146" t="s">
        <v>49</v>
      </c>
      <c r="B573" s="147">
        <v>12</v>
      </c>
      <c r="C573" s="253" t="s">
        <v>21</v>
      </c>
      <c r="D573" s="151">
        <v>3222</v>
      </c>
      <c r="E573" s="227" t="s">
        <v>76</v>
      </c>
      <c r="F573" s="148" t="s">
        <v>689</v>
      </c>
      <c r="G573" s="883"/>
      <c r="H573" s="879"/>
      <c r="I573" s="880"/>
      <c r="J573" s="149"/>
      <c r="K573" s="149"/>
      <c r="L573" s="149"/>
      <c r="M573" s="149"/>
      <c r="N573" s="149"/>
      <c r="O573" s="149"/>
      <c r="P573" s="149"/>
      <c r="Q573" s="149"/>
      <c r="R573" s="149"/>
      <c r="S573" s="149"/>
      <c r="T573" s="149"/>
      <c r="U573" s="149"/>
      <c r="V573" s="149"/>
      <c r="W573" s="149"/>
      <c r="X573" s="149"/>
      <c r="Y573" s="149"/>
      <c r="Z573" s="149"/>
      <c r="AA573" s="149"/>
      <c r="AB573" s="149"/>
      <c r="AC573" s="149"/>
      <c r="AD573" s="149"/>
      <c r="AE573" s="149"/>
      <c r="AF573" s="149"/>
      <c r="AG573" s="149"/>
      <c r="AH573" s="149"/>
      <c r="AI573" s="149"/>
    </row>
    <row r="574" spans="1:35" ht="36">
      <c r="A574" s="146" t="s">
        <v>49</v>
      </c>
      <c r="B574" s="147">
        <v>12</v>
      </c>
      <c r="C574" s="253" t="s">
        <v>21</v>
      </c>
      <c r="D574" s="151">
        <v>3223</v>
      </c>
      <c r="E574" s="227" t="s">
        <v>77</v>
      </c>
      <c r="F574" s="148" t="s">
        <v>689</v>
      </c>
      <c r="G574" s="883"/>
      <c r="H574" s="879"/>
      <c r="I574" s="880"/>
      <c r="J574" s="149"/>
      <c r="K574" s="149"/>
      <c r="L574" s="149"/>
      <c r="M574" s="149"/>
      <c r="N574" s="149"/>
      <c r="O574" s="149"/>
      <c r="P574" s="149"/>
      <c r="Q574" s="149"/>
      <c r="R574" s="149"/>
      <c r="S574" s="149"/>
      <c r="T574" s="149"/>
      <c r="U574" s="149"/>
      <c r="V574" s="149"/>
      <c r="W574" s="149"/>
      <c r="X574" s="149"/>
      <c r="Y574" s="149"/>
      <c r="Z574" s="149"/>
      <c r="AA574" s="149"/>
      <c r="AB574" s="149"/>
      <c r="AC574" s="149"/>
      <c r="AD574" s="149"/>
      <c r="AE574" s="149"/>
      <c r="AF574" s="149"/>
      <c r="AG574" s="149"/>
      <c r="AH574" s="149"/>
      <c r="AI574" s="149"/>
    </row>
    <row r="575" spans="1:35" ht="60">
      <c r="A575" s="146" t="s">
        <v>49</v>
      </c>
      <c r="B575" s="147">
        <v>12</v>
      </c>
      <c r="C575" s="253" t="s">
        <v>21</v>
      </c>
      <c r="D575" s="151">
        <v>3224</v>
      </c>
      <c r="E575" s="227" t="s">
        <v>61</v>
      </c>
      <c r="F575" s="148" t="s">
        <v>689</v>
      </c>
      <c r="G575" s="883"/>
      <c r="H575" s="879"/>
      <c r="I575" s="880"/>
      <c r="J575" s="149"/>
      <c r="K575" s="149"/>
      <c r="L575" s="149"/>
      <c r="M575" s="149"/>
      <c r="N575" s="149"/>
      <c r="O575" s="149"/>
      <c r="P575" s="149"/>
      <c r="Q575" s="149"/>
      <c r="R575" s="149"/>
      <c r="S575" s="149"/>
      <c r="T575" s="149"/>
      <c r="U575" s="149"/>
      <c r="V575" s="149"/>
      <c r="W575" s="149"/>
      <c r="X575" s="149"/>
      <c r="Y575" s="149"/>
      <c r="Z575" s="149"/>
      <c r="AA575" s="149"/>
      <c r="AB575" s="149"/>
      <c r="AC575" s="149"/>
      <c r="AD575" s="149"/>
      <c r="AE575" s="149"/>
      <c r="AF575" s="149"/>
      <c r="AG575" s="149"/>
      <c r="AH575" s="149"/>
      <c r="AI575" s="149"/>
    </row>
    <row r="576" spans="1:35" ht="36">
      <c r="A576" s="146" t="s">
        <v>49</v>
      </c>
      <c r="B576" s="147">
        <v>12</v>
      </c>
      <c r="C576" s="253" t="s">
        <v>21</v>
      </c>
      <c r="D576" s="151">
        <v>3225</v>
      </c>
      <c r="E576" s="227" t="s">
        <v>78</v>
      </c>
      <c r="F576" s="148" t="s">
        <v>689</v>
      </c>
      <c r="G576" s="883"/>
      <c r="H576" s="879"/>
      <c r="I576" s="880"/>
      <c r="J576" s="149"/>
      <c r="K576" s="149"/>
      <c r="L576" s="149"/>
      <c r="M576" s="149"/>
      <c r="N576" s="149"/>
      <c r="O576" s="149"/>
      <c r="P576" s="149"/>
      <c r="Q576" s="149"/>
      <c r="R576" s="149"/>
      <c r="S576" s="149"/>
      <c r="T576" s="149"/>
      <c r="U576" s="149"/>
      <c r="V576" s="149"/>
      <c r="W576" s="149"/>
      <c r="X576" s="149"/>
      <c r="Y576" s="149"/>
      <c r="Z576" s="149"/>
      <c r="AA576" s="149"/>
      <c r="AB576" s="149"/>
      <c r="AC576" s="149"/>
      <c r="AD576" s="149"/>
      <c r="AE576" s="149"/>
      <c r="AF576" s="149"/>
      <c r="AG576" s="149"/>
      <c r="AH576" s="149"/>
      <c r="AI576" s="149"/>
    </row>
    <row r="577" spans="1:35" ht="60">
      <c r="A577" s="146" t="s">
        <v>49</v>
      </c>
      <c r="B577" s="147">
        <v>12</v>
      </c>
      <c r="C577" s="253" t="s">
        <v>21</v>
      </c>
      <c r="D577" s="151">
        <v>3227</v>
      </c>
      <c r="E577" s="227" t="s">
        <v>89</v>
      </c>
      <c r="F577" s="148" t="s">
        <v>689</v>
      </c>
      <c r="G577" s="883"/>
      <c r="H577" s="879"/>
      <c r="I577" s="880"/>
      <c r="J577" s="149"/>
      <c r="K577" s="149"/>
      <c r="L577" s="149"/>
      <c r="M577" s="149"/>
      <c r="N577" s="149"/>
      <c r="O577" s="149"/>
      <c r="P577" s="149"/>
      <c r="Q577" s="149"/>
      <c r="R577" s="149"/>
      <c r="S577" s="149"/>
      <c r="T577" s="149"/>
      <c r="U577" s="149"/>
      <c r="V577" s="149"/>
      <c r="W577" s="149"/>
      <c r="X577" s="149"/>
      <c r="Y577" s="149"/>
      <c r="Z577" s="149"/>
      <c r="AA577" s="149"/>
      <c r="AB577" s="149"/>
      <c r="AC577" s="149"/>
      <c r="AD577" s="149"/>
      <c r="AE577" s="149"/>
      <c r="AF577" s="149"/>
      <c r="AG577" s="149"/>
      <c r="AH577" s="149"/>
      <c r="AI577" s="149"/>
    </row>
    <row r="578" spans="1:35" ht="48">
      <c r="A578" s="146" t="s">
        <v>49</v>
      </c>
      <c r="B578" s="147">
        <v>12</v>
      </c>
      <c r="C578" s="253" t="s">
        <v>21</v>
      </c>
      <c r="D578" s="151">
        <v>3231</v>
      </c>
      <c r="E578" s="227" t="s">
        <v>79</v>
      </c>
      <c r="F578" s="148" t="s">
        <v>689</v>
      </c>
      <c r="G578" s="883"/>
      <c r="H578" s="879"/>
      <c r="I578" s="880"/>
      <c r="J578" s="149"/>
      <c r="K578" s="149"/>
      <c r="L578" s="149"/>
      <c r="M578" s="149"/>
      <c r="N578" s="149"/>
      <c r="O578" s="149"/>
      <c r="P578" s="149"/>
      <c r="Q578" s="149"/>
      <c r="R578" s="149"/>
      <c r="S578" s="149"/>
      <c r="T578" s="149"/>
      <c r="U578" s="149"/>
      <c r="V578" s="149"/>
      <c r="W578" s="149"/>
      <c r="X578" s="149"/>
      <c r="Y578" s="149"/>
      <c r="Z578" s="149"/>
      <c r="AA578" s="149"/>
      <c r="AB578" s="149"/>
      <c r="AC578" s="149"/>
      <c r="AD578" s="149"/>
      <c r="AE578" s="149"/>
      <c r="AF578" s="149"/>
      <c r="AG578" s="149"/>
      <c r="AH578" s="149"/>
      <c r="AI578" s="149"/>
    </row>
    <row r="579" spans="1:35" ht="48">
      <c r="A579" s="146" t="s">
        <v>49</v>
      </c>
      <c r="B579" s="147">
        <v>12</v>
      </c>
      <c r="C579" s="253" t="s">
        <v>21</v>
      </c>
      <c r="D579" s="151">
        <v>3232</v>
      </c>
      <c r="E579" s="227" t="s">
        <v>80</v>
      </c>
      <c r="F579" s="148" t="s">
        <v>689</v>
      </c>
      <c r="G579" s="883"/>
      <c r="H579" s="879"/>
      <c r="I579" s="880"/>
      <c r="J579" s="149"/>
      <c r="K579" s="149"/>
      <c r="L579" s="149"/>
      <c r="M579" s="149"/>
      <c r="N579" s="149"/>
      <c r="O579" s="149"/>
      <c r="P579" s="149"/>
      <c r="Q579" s="149"/>
      <c r="R579" s="149"/>
      <c r="S579" s="149"/>
      <c r="T579" s="149"/>
      <c r="U579" s="149"/>
      <c r="V579" s="149"/>
      <c r="W579" s="149"/>
      <c r="X579" s="149"/>
      <c r="Y579" s="149"/>
      <c r="Z579" s="149"/>
      <c r="AA579" s="149"/>
      <c r="AB579" s="149"/>
      <c r="AC579" s="149"/>
      <c r="AD579" s="149"/>
      <c r="AE579" s="149"/>
      <c r="AF579" s="149"/>
      <c r="AG579" s="149"/>
      <c r="AH579" s="149"/>
      <c r="AI579" s="149"/>
    </row>
    <row r="580" spans="1:35" ht="36">
      <c r="A580" s="146" t="s">
        <v>49</v>
      </c>
      <c r="B580" s="147">
        <v>12</v>
      </c>
      <c r="C580" s="253" t="s">
        <v>21</v>
      </c>
      <c r="D580" s="151">
        <v>3233</v>
      </c>
      <c r="E580" s="227" t="s">
        <v>81</v>
      </c>
      <c r="F580" s="148" t="s">
        <v>689</v>
      </c>
      <c r="G580" s="883"/>
      <c r="H580" s="879"/>
      <c r="I580" s="880"/>
      <c r="J580" s="149"/>
      <c r="K580" s="149"/>
      <c r="L580" s="149"/>
      <c r="M580" s="149"/>
      <c r="N580" s="149"/>
      <c r="O580" s="149"/>
      <c r="P580" s="149"/>
      <c r="Q580" s="149"/>
      <c r="R580" s="149"/>
      <c r="S580" s="149"/>
      <c r="T580" s="149"/>
      <c r="U580" s="149"/>
      <c r="V580" s="149"/>
      <c r="W580" s="149"/>
      <c r="X580" s="149"/>
      <c r="Y580" s="149"/>
      <c r="Z580" s="149"/>
      <c r="AA580" s="149"/>
      <c r="AB580" s="149"/>
      <c r="AC580" s="149"/>
      <c r="AD580" s="149"/>
      <c r="AE580" s="149"/>
      <c r="AF580" s="149"/>
      <c r="AG580" s="149"/>
      <c r="AH580" s="149"/>
      <c r="AI580" s="149"/>
    </row>
    <row r="581" spans="1:35" ht="36">
      <c r="A581" s="146" t="s">
        <v>49</v>
      </c>
      <c r="B581" s="147">
        <v>12</v>
      </c>
      <c r="C581" s="253" t="s">
        <v>21</v>
      </c>
      <c r="D581" s="151">
        <v>3234</v>
      </c>
      <c r="E581" s="227" t="s">
        <v>87</v>
      </c>
      <c r="F581" s="148" t="s">
        <v>689</v>
      </c>
      <c r="G581" s="883"/>
      <c r="H581" s="879"/>
      <c r="I581" s="880"/>
      <c r="J581" s="149"/>
      <c r="K581" s="149"/>
      <c r="L581" s="149"/>
      <c r="M581" s="149"/>
      <c r="N581" s="149"/>
      <c r="O581" s="149"/>
      <c r="P581" s="149"/>
      <c r="Q581" s="149"/>
      <c r="R581" s="149"/>
      <c r="S581" s="149"/>
      <c r="T581" s="149"/>
      <c r="U581" s="149"/>
      <c r="V581" s="149"/>
      <c r="W581" s="149"/>
      <c r="X581" s="149"/>
      <c r="Y581" s="149"/>
      <c r="Z581" s="149"/>
      <c r="AA581" s="149"/>
      <c r="AB581" s="149"/>
      <c r="AC581" s="149"/>
      <c r="AD581" s="149"/>
      <c r="AE581" s="149"/>
      <c r="AF581" s="149"/>
      <c r="AG581" s="149"/>
      <c r="AH581" s="149"/>
      <c r="AI581" s="149"/>
    </row>
    <row r="582" spans="1:35" ht="36">
      <c r="A582" s="146" t="s">
        <v>49</v>
      </c>
      <c r="B582" s="147">
        <v>12</v>
      </c>
      <c r="C582" s="253" t="s">
        <v>21</v>
      </c>
      <c r="D582" s="151">
        <v>3235</v>
      </c>
      <c r="E582" s="227" t="s">
        <v>88</v>
      </c>
      <c r="F582" s="148" t="s">
        <v>689</v>
      </c>
      <c r="G582" s="883"/>
      <c r="H582" s="879"/>
      <c r="I582" s="880"/>
      <c r="J582" s="149"/>
      <c r="K582" s="149"/>
      <c r="L582" s="149"/>
      <c r="M582" s="149"/>
      <c r="N582" s="149"/>
      <c r="O582" s="149"/>
      <c r="P582" s="149"/>
      <c r="Q582" s="149"/>
      <c r="R582" s="149"/>
      <c r="S582" s="149"/>
      <c r="T582" s="149"/>
      <c r="U582" s="149"/>
      <c r="V582" s="149"/>
      <c r="W582" s="149"/>
      <c r="X582" s="149"/>
      <c r="Y582" s="149"/>
      <c r="Z582" s="149"/>
      <c r="AA582" s="149"/>
      <c r="AB582" s="149"/>
      <c r="AC582" s="149"/>
      <c r="AD582" s="149"/>
      <c r="AE582" s="149"/>
      <c r="AF582" s="149"/>
      <c r="AG582" s="149"/>
      <c r="AH582" s="149"/>
      <c r="AI582" s="149"/>
    </row>
    <row r="583" spans="1:35" ht="48">
      <c r="A583" s="146" t="s">
        <v>49</v>
      </c>
      <c r="B583" s="147">
        <v>12</v>
      </c>
      <c r="C583" s="253" t="s">
        <v>21</v>
      </c>
      <c r="D583" s="151">
        <v>3236</v>
      </c>
      <c r="E583" s="227" t="s">
        <v>54</v>
      </c>
      <c r="F583" s="148" t="s">
        <v>689</v>
      </c>
      <c r="G583" s="883"/>
      <c r="H583" s="879"/>
      <c r="I583" s="880"/>
      <c r="J583" s="149"/>
      <c r="K583" s="149"/>
      <c r="L583" s="149"/>
      <c r="M583" s="149"/>
      <c r="N583" s="149"/>
      <c r="O583" s="149"/>
      <c r="P583" s="149"/>
      <c r="Q583" s="149"/>
      <c r="R583" s="149"/>
      <c r="S583" s="149"/>
      <c r="T583" s="149"/>
      <c r="U583" s="149"/>
      <c r="V583" s="149"/>
      <c r="W583" s="149"/>
      <c r="X583" s="149"/>
      <c r="Y583" s="149"/>
      <c r="Z583" s="149"/>
      <c r="AA583" s="149"/>
      <c r="AB583" s="149"/>
      <c r="AC583" s="149"/>
      <c r="AD583" s="149"/>
      <c r="AE583" s="149"/>
      <c r="AF583" s="149"/>
      <c r="AG583" s="149"/>
      <c r="AH583" s="149"/>
      <c r="AI583" s="149"/>
    </row>
    <row r="584" spans="1:35" ht="36">
      <c r="A584" s="146" t="s">
        <v>49</v>
      </c>
      <c r="B584" s="147">
        <v>12</v>
      </c>
      <c r="C584" s="253" t="s">
        <v>21</v>
      </c>
      <c r="D584" s="151">
        <v>3237</v>
      </c>
      <c r="E584" s="227" t="s">
        <v>62</v>
      </c>
      <c r="F584" s="148" t="s">
        <v>689</v>
      </c>
      <c r="G584" s="883"/>
      <c r="H584" s="879"/>
      <c r="I584" s="880"/>
      <c r="J584" s="149"/>
      <c r="K584" s="149"/>
      <c r="L584" s="149"/>
      <c r="M584" s="149"/>
      <c r="N584" s="149"/>
      <c r="O584" s="149"/>
      <c r="P584" s="149"/>
      <c r="Q584" s="149"/>
      <c r="R584" s="149"/>
      <c r="S584" s="149"/>
      <c r="T584" s="149"/>
      <c r="U584" s="149"/>
      <c r="V584" s="149"/>
      <c r="W584" s="149"/>
      <c r="X584" s="149"/>
      <c r="Y584" s="149"/>
      <c r="Z584" s="149"/>
      <c r="AA584" s="149"/>
      <c r="AB584" s="149"/>
      <c r="AC584" s="149"/>
      <c r="AD584" s="149"/>
      <c r="AE584" s="149"/>
      <c r="AF584" s="149"/>
      <c r="AG584" s="149"/>
      <c r="AH584" s="149"/>
      <c r="AI584" s="149"/>
    </row>
    <row r="585" spans="1:35" ht="36">
      <c r="A585" s="146" t="s">
        <v>49</v>
      </c>
      <c r="B585" s="147">
        <v>12</v>
      </c>
      <c r="C585" s="253" t="s">
        <v>21</v>
      </c>
      <c r="D585" s="151">
        <v>3238</v>
      </c>
      <c r="E585" s="227" t="s">
        <v>82</v>
      </c>
      <c r="F585" s="148" t="s">
        <v>689</v>
      </c>
      <c r="G585" s="883"/>
      <c r="H585" s="879"/>
      <c r="I585" s="880"/>
      <c r="J585" s="149"/>
      <c r="K585" s="149"/>
      <c r="L585" s="149"/>
      <c r="M585" s="149"/>
      <c r="N585" s="149"/>
      <c r="O585" s="149"/>
      <c r="P585" s="149"/>
      <c r="Q585" s="149"/>
      <c r="R585" s="149"/>
      <c r="S585" s="149"/>
      <c r="T585" s="149"/>
      <c r="U585" s="149"/>
      <c r="V585" s="149"/>
      <c r="W585" s="149"/>
      <c r="X585" s="149"/>
      <c r="Y585" s="149"/>
      <c r="Z585" s="149"/>
      <c r="AA585" s="149"/>
      <c r="AB585" s="149"/>
      <c r="AC585" s="149"/>
      <c r="AD585" s="149"/>
      <c r="AE585" s="149"/>
      <c r="AF585" s="149"/>
      <c r="AG585" s="149"/>
      <c r="AH585" s="149"/>
      <c r="AI585" s="149"/>
    </row>
    <row r="586" spans="1:35" ht="36">
      <c r="A586" s="146" t="s">
        <v>49</v>
      </c>
      <c r="B586" s="147">
        <v>12</v>
      </c>
      <c r="C586" s="253" t="s">
        <v>21</v>
      </c>
      <c r="D586" s="151">
        <v>3239</v>
      </c>
      <c r="E586" s="227" t="s">
        <v>66</v>
      </c>
      <c r="F586" s="148" t="s">
        <v>689</v>
      </c>
      <c r="G586" s="883"/>
      <c r="H586" s="879"/>
      <c r="I586" s="880"/>
      <c r="J586" s="149"/>
      <c r="K586" s="149"/>
      <c r="L586" s="149"/>
      <c r="M586" s="149"/>
      <c r="N586" s="149"/>
      <c r="O586" s="149"/>
      <c r="P586" s="149"/>
      <c r="Q586" s="149"/>
      <c r="R586" s="149"/>
      <c r="S586" s="149"/>
      <c r="T586" s="149"/>
      <c r="U586" s="149"/>
      <c r="V586" s="149"/>
      <c r="W586" s="149"/>
      <c r="X586" s="149"/>
      <c r="Y586" s="149"/>
      <c r="Z586" s="149"/>
      <c r="AA586" s="149"/>
      <c r="AB586" s="149"/>
      <c r="AC586" s="149"/>
      <c r="AD586" s="149"/>
      <c r="AE586" s="149"/>
      <c r="AF586" s="149"/>
      <c r="AG586" s="149"/>
      <c r="AH586" s="149"/>
      <c r="AI586" s="149"/>
    </row>
    <row r="587" spans="1:35" ht="60">
      <c r="A587" s="146" t="s">
        <v>49</v>
      </c>
      <c r="B587" s="147">
        <v>12</v>
      </c>
      <c r="C587" s="253" t="s">
        <v>21</v>
      </c>
      <c r="D587" s="151">
        <v>3241</v>
      </c>
      <c r="E587" s="227" t="s">
        <v>67</v>
      </c>
      <c r="F587" s="148" t="s">
        <v>689</v>
      </c>
      <c r="G587" s="883"/>
      <c r="H587" s="879"/>
      <c r="I587" s="880"/>
      <c r="J587" s="149"/>
      <c r="K587" s="149"/>
      <c r="L587" s="149"/>
      <c r="M587" s="149"/>
      <c r="N587" s="149"/>
      <c r="O587" s="149"/>
      <c r="P587" s="149"/>
      <c r="Q587" s="149"/>
      <c r="R587" s="149"/>
      <c r="S587" s="149"/>
      <c r="T587" s="149"/>
      <c r="U587" s="149"/>
      <c r="V587" s="149"/>
      <c r="W587" s="149"/>
      <c r="X587" s="149"/>
      <c r="Y587" s="149"/>
      <c r="Z587" s="149"/>
      <c r="AA587" s="149"/>
      <c r="AB587" s="149"/>
      <c r="AC587" s="149"/>
      <c r="AD587" s="149"/>
      <c r="AE587" s="149"/>
      <c r="AF587" s="149"/>
      <c r="AG587" s="149"/>
      <c r="AH587" s="149"/>
      <c r="AI587" s="149"/>
    </row>
    <row r="588" spans="1:35" ht="60">
      <c r="A588" s="146" t="s">
        <v>49</v>
      </c>
      <c r="B588" s="147">
        <v>12</v>
      </c>
      <c r="C588" s="253" t="s">
        <v>21</v>
      </c>
      <c r="D588" s="151">
        <v>3291</v>
      </c>
      <c r="E588" s="227" t="s">
        <v>713</v>
      </c>
      <c r="F588" s="148" t="s">
        <v>689</v>
      </c>
      <c r="G588" s="883"/>
      <c r="H588" s="879"/>
      <c r="I588" s="880"/>
      <c r="J588" s="149"/>
      <c r="K588" s="149"/>
      <c r="L588" s="149"/>
      <c r="M588" s="149"/>
      <c r="N588" s="149"/>
      <c r="O588" s="149"/>
      <c r="P588" s="149"/>
      <c r="Q588" s="149"/>
      <c r="R588" s="149"/>
      <c r="S588" s="149"/>
      <c r="T588" s="149"/>
      <c r="U588" s="149"/>
      <c r="V588" s="149"/>
      <c r="W588" s="149"/>
      <c r="X588" s="149"/>
      <c r="Y588" s="149"/>
      <c r="Z588" s="149"/>
      <c r="AA588" s="149"/>
      <c r="AB588" s="149"/>
      <c r="AC588" s="149"/>
      <c r="AD588" s="149"/>
      <c r="AE588" s="149"/>
      <c r="AF588" s="149"/>
      <c r="AG588" s="149"/>
      <c r="AH588" s="149"/>
      <c r="AI588" s="149"/>
    </row>
    <row r="589" spans="1:35" ht="36">
      <c r="A589" s="146" t="s">
        <v>49</v>
      </c>
      <c r="B589" s="147">
        <v>12</v>
      </c>
      <c r="C589" s="253" t="s">
        <v>21</v>
      </c>
      <c r="D589" s="151">
        <v>3292</v>
      </c>
      <c r="E589" s="227" t="s">
        <v>59</v>
      </c>
      <c r="F589" s="148" t="s">
        <v>689</v>
      </c>
      <c r="G589" s="883"/>
      <c r="H589" s="879"/>
      <c r="I589" s="880"/>
      <c r="J589" s="149"/>
      <c r="K589" s="149"/>
      <c r="L589" s="149"/>
      <c r="M589" s="149"/>
      <c r="N589" s="149"/>
      <c r="O589" s="149"/>
      <c r="P589" s="149"/>
      <c r="Q589" s="149"/>
      <c r="R589" s="149"/>
      <c r="S589" s="149"/>
      <c r="T589" s="149"/>
      <c r="U589" s="149"/>
      <c r="V589" s="149"/>
      <c r="W589" s="149"/>
      <c r="X589" s="149"/>
      <c r="Y589" s="149"/>
      <c r="Z589" s="149"/>
      <c r="AA589" s="149"/>
      <c r="AB589" s="149"/>
      <c r="AC589" s="149"/>
      <c r="AD589" s="149"/>
      <c r="AE589" s="149"/>
      <c r="AF589" s="149"/>
      <c r="AG589" s="149"/>
      <c r="AH589" s="149"/>
      <c r="AI589" s="149"/>
    </row>
    <row r="590" spans="1:35" ht="36">
      <c r="A590" s="146" t="s">
        <v>49</v>
      </c>
      <c r="B590" s="147">
        <v>12</v>
      </c>
      <c r="C590" s="253" t="s">
        <v>21</v>
      </c>
      <c r="D590" s="151">
        <v>3293</v>
      </c>
      <c r="E590" s="227" t="s">
        <v>68</v>
      </c>
      <c r="F590" s="148" t="s">
        <v>689</v>
      </c>
      <c r="G590" s="883"/>
      <c r="H590" s="879"/>
      <c r="I590" s="880"/>
      <c r="J590" s="149"/>
      <c r="K590" s="149"/>
      <c r="L590" s="149"/>
      <c r="M590" s="149"/>
      <c r="N590" s="149"/>
      <c r="O590" s="149"/>
      <c r="P590" s="149"/>
      <c r="Q590" s="149"/>
      <c r="R590" s="149"/>
      <c r="S590" s="149"/>
      <c r="T590" s="149"/>
      <c r="U590" s="149"/>
      <c r="V590" s="149"/>
      <c r="W590" s="149"/>
      <c r="X590" s="149"/>
      <c r="Y590" s="149"/>
      <c r="Z590" s="149"/>
      <c r="AA590" s="149"/>
      <c r="AB590" s="149"/>
      <c r="AC590" s="149"/>
      <c r="AD590" s="149"/>
      <c r="AE590" s="149"/>
      <c r="AF590" s="149"/>
      <c r="AG590" s="149"/>
      <c r="AH590" s="149"/>
      <c r="AI590" s="149"/>
    </row>
    <row r="591" spans="1:35" ht="36">
      <c r="A591" s="146" t="s">
        <v>49</v>
      </c>
      <c r="B591" s="147">
        <v>12</v>
      </c>
      <c r="C591" s="253" t="s">
        <v>21</v>
      </c>
      <c r="D591" s="151">
        <v>3294</v>
      </c>
      <c r="E591" s="227" t="s">
        <v>69</v>
      </c>
      <c r="F591" s="148" t="s">
        <v>689</v>
      </c>
      <c r="G591" s="883"/>
      <c r="H591" s="879"/>
      <c r="I591" s="880"/>
      <c r="J591" s="149"/>
      <c r="K591" s="149"/>
      <c r="L591" s="149"/>
      <c r="M591" s="149"/>
      <c r="N591" s="149"/>
      <c r="O591" s="149"/>
      <c r="P591" s="149"/>
      <c r="Q591" s="149"/>
      <c r="R591" s="149"/>
      <c r="S591" s="149"/>
      <c r="T591" s="149"/>
      <c r="U591" s="149"/>
      <c r="V591" s="149"/>
      <c r="W591" s="149"/>
      <c r="X591" s="149"/>
      <c r="Y591" s="149"/>
      <c r="Z591" s="149"/>
      <c r="AA591" s="149"/>
      <c r="AB591" s="149"/>
      <c r="AC591" s="149"/>
      <c r="AD591" s="149"/>
      <c r="AE591" s="149"/>
      <c r="AF591" s="149"/>
      <c r="AG591" s="149"/>
      <c r="AH591" s="149"/>
      <c r="AI591" s="149"/>
    </row>
    <row r="592" spans="1:35" ht="36">
      <c r="A592" s="146" t="s">
        <v>49</v>
      </c>
      <c r="B592" s="147">
        <v>12</v>
      </c>
      <c r="C592" s="253" t="s">
        <v>21</v>
      </c>
      <c r="D592" s="151">
        <v>3295</v>
      </c>
      <c r="E592" s="227" t="s">
        <v>55</v>
      </c>
      <c r="F592" s="148" t="s">
        <v>689</v>
      </c>
      <c r="G592" s="883"/>
      <c r="H592" s="879"/>
      <c r="I592" s="880"/>
      <c r="J592" s="149"/>
      <c r="K592" s="149"/>
      <c r="L592" s="149"/>
      <c r="M592" s="149"/>
      <c r="N592" s="149"/>
      <c r="O592" s="149"/>
      <c r="P592" s="149"/>
      <c r="Q592" s="149"/>
      <c r="R592" s="149"/>
      <c r="S592" s="149"/>
      <c r="T592" s="149"/>
      <c r="U592" s="149"/>
      <c r="V592" s="149"/>
      <c r="W592" s="149"/>
      <c r="X592" s="149"/>
      <c r="Y592" s="149"/>
      <c r="Z592" s="149"/>
      <c r="AA592" s="149"/>
      <c r="AB592" s="149"/>
      <c r="AC592" s="149"/>
      <c r="AD592" s="149"/>
      <c r="AE592" s="149"/>
      <c r="AF592" s="149"/>
      <c r="AG592" s="149"/>
      <c r="AH592" s="149"/>
      <c r="AI592" s="149"/>
    </row>
    <row r="593" spans="1:35" ht="36">
      <c r="A593" s="146" t="s">
        <v>49</v>
      </c>
      <c r="B593" s="147">
        <v>12</v>
      </c>
      <c r="C593" s="253" t="s">
        <v>21</v>
      </c>
      <c r="D593" s="151">
        <v>3296</v>
      </c>
      <c r="E593" s="227" t="s">
        <v>97</v>
      </c>
      <c r="F593" s="148" t="s">
        <v>689</v>
      </c>
      <c r="G593" s="883"/>
      <c r="H593" s="879"/>
      <c r="I593" s="880"/>
      <c r="J593" s="149"/>
      <c r="K593" s="149"/>
      <c r="L593" s="149"/>
      <c r="M593" s="149"/>
      <c r="N593" s="149"/>
      <c r="O593" s="149"/>
      <c r="P593" s="149"/>
      <c r="Q593" s="149"/>
      <c r="R593" s="149"/>
      <c r="S593" s="149"/>
      <c r="T593" s="149"/>
      <c r="U593" s="149"/>
      <c r="V593" s="149"/>
      <c r="W593" s="149"/>
      <c r="X593" s="149"/>
      <c r="Y593" s="149"/>
      <c r="Z593" s="149"/>
      <c r="AA593" s="149"/>
      <c r="AB593" s="149"/>
      <c r="AC593" s="149"/>
      <c r="AD593" s="149"/>
      <c r="AE593" s="149"/>
      <c r="AF593" s="149"/>
      <c r="AG593" s="149"/>
      <c r="AH593" s="149"/>
      <c r="AI593" s="149"/>
    </row>
    <row r="594" spans="1:35" ht="48">
      <c r="A594" s="146" t="s">
        <v>49</v>
      </c>
      <c r="B594" s="147">
        <v>12</v>
      </c>
      <c r="C594" s="253" t="s">
        <v>21</v>
      </c>
      <c r="D594" s="151">
        <v>3299</v>
      </c>
      <c r="E594" s="227" t="s">
        <v>57</v>
      </c>
      <c r="F594" s="148" t="s">
        <v>689</v>
      </c>
      <c r="G594" s="883"/>
      <c r="H594" s="879"/>
      <c r="I594" s="880"/>
      <c r="J594" s="149"/>
      <c r="K594" s="149"/>
      <c r="L594" s="149"/>
      <c r="M594" s="149"/>
      <c r="N594" s="149"/>
      <c r="O594" s="149"/>
      <c r="P594" s="149"/>
      <c r="Q594" s="149"/>
      <c r="R594" s="149"/>
      <c r="S594" s="149"/>
      <c r="T594" s="149"/>
      <c r="U594" s="149"/>
      <c r="V594" s="149"/>
      <c r="W594" s="149"/>
      <c r="X594" s="149"/>
      <c r="Y594" s="149"/>
      <c r="Z594" s="149"/>
      <c r="AA594" s="149"/>
      <c r="AB594" s="149"/>
      <c r="AC594" s="149"/>
      <c r="AD594" s="149"/>
      <c r="AE594" s="149"/>
      <c r="AF594" s="149"/>
      <c r="AG594" s="149"/>
      <c r="AH594" s="149"/>
      <c r="AI594" s="149"/>
    </row>
    <row r="595" spans="1:35" ht="60">
      <c r="A595" s="146" t="s">
        <v>49</v>
      </c>
      <c r="B595" s="147">
        <v>12</v>
      </c>
      <c r="C595" s="253" t="s">
        <v>21</v>
      </c>
      <c r="D595" s="151">
        <v>3431</v>
      </c>
      <c r="E595" s="227" t="s">
        <v>70</v>
      </c>
      <c r="F595" s="148" t="s">
        <v>689</v>
      </c>
      <c r="G595" s="883"/>
      <c r="H595" s="879"/>
      <c r="I595" s="880"/>
      <c r="J595" s="149"/>
      <c r="K595" s="149"/>
      <c r="L595" s="149"/>
      <c r="M595" s="149"/>
      <c r="N595" s="149"/>
      <c r="O595" s="149"/>
      <c r="P595" s="149"/>
      <c r="Q595" s="149"/>
      <c r="R595" s="149"/>
      <c r="S595" s="149"/>
      <c r="T595" s="149"/>
      <c r="U595" s="149"/>
      <c r="V595" s="149"/>
      <c r="W595" s="149"/>
      <c r="X595" s="149"/>
      <c r="Y595" s="149"/>
      <c r="Z595" s="149"/>
      <c r="AA595" s="149"/>
      <c r="AB595" s="149"/>
      <c r="AC595" s="149"/>
      <c r="AD595" s="149"/>
      <c r="AE595" s="149"/>
      <c r="AF595" s="149"/>
      <c r="AG595" s="149"/>
      <c r="AH595" s="149"/>
      <c r="AI595" s="149"/>
    </row>
    <row r="596" spans="1:35" ht="72">
      <c r="A596" s="146" t="s">
        <v>49</v>
      </c>
      <c r="B596" s="147">
        <v>12</v>
      </c>
      <c r="C596" s="253" t="s">
        <v>21</v>
      </c>
      <c r="D596" s="151">
        <v>3432</v>
      </c>
      <c r="E596" s="227" t="s">
        <v>71</v>
      </c>
      <c r="F596" s="148" t="s">
        <v>689</v>
      </c>
      <c r="G596" s="883"/>
      <c r="H596" s="879"/>
      <c r="I596" s="880"/>
      <c r="J596" s="149"/>
      <c r="K596" s="149"/>
      <c r="L596" s="149"/>
      <c r="M596" s="149"/>
      <c r="N596" s="149"/>
      <c r="O596" s="149"/>
      <c r="P596" s="149"/>
      <c r="Q596" s="149"/>
      <c r="R596" s="149"/>
      <c r="S596" s="149"/>
      <c r="T596" s="149"/>
      <c r="U596" s="149"/>
      <c r="V596" s="149"/>
      <c r="W596" s="149"/>
      <c r="X596" s="149"/>
      <c r="Y596" s="149"/>
      <c r="Z596" s="149"/>
      <c r="AA596" s="149"/>
      <c r="AB596" s="149"/>
      <c r="AC596" s="149"/>
      <c r="AD596" s="149"/>
      <c r="AE596" s="149"/>
      <c r="AF596" s="149"/>
      <c r="AG596" s="149"/>
      <c r="AH596" s="149"/>
      <c r="AI596" s="149"/>
    </row>
    <row r="597" spans="1:35" ht="48">
      <c r="A597" s="146" t="s">
        <v>49</v>
      </c>
      <c r="B597" s="147">
        <v>12</v>
      </c>
      <c r="C597" s="253" t="s">
        <v>21</v>
      </c>
      <c r="D597" s="151">
        <v>3433</v>
      </c>
      <c r="E597" s="227" t="s">
        <v>725</v>
      </c>
      <c r="F597" s="148" t="s">
        <v>689</v>
      </c>
      <c r="G597" s="883"/>
      <c r="H597" s="879"/>
      <c r="I597" s="880"/>
      <c r="J597" s="149"/>
      <c r="K597" s="149"/>
      <c r="L597" s="149"/>
      <c r="M597" s="149"/>
      <c r="N597" s="149"/>
      <c r="O597" s="149"/>
      <c r="P597" s="149"/>
      <c r="Q597" s="149"/>
      <c r="R597" s="149"/>
      <c r="S597" s="149"/>
      <c r="T597" s="149"/>
      <c r="U597" s="149"/>
      <c r="V597" s="149"/>
      <c r="W597" s="149"/>
      <c r="X597" s="149"/>
      <c r="Y597" s="149"/>
      <c r="Z597" s="149"/>
      <c r="AA597" s="149"/>
      <c r="AB597" s="149"/>
      <c r="AC597" s="149"/>
      <c r="AD597" s="149"/>
      <c r="AE597" s="149"/>
      <c r="AF597" s="149"/>
      <c r="AG597" s="149"/>
      <c r="AH597" s="149"/>
      <c r="AI597" s="149"/>
    </row>
    <row r="598" spans="1:35" ht="48">
      <c r="A598" s="146" t="s">
        <v>49</v>
      </c>
      <c r="B598" s="147">
        <v>12</v>
      </c>
      <c r="C598" s="253" t="s">
        <v>21</v>
      </c>
      <c r="D598" s="151">
        <v>3434</v>
      </c>
      <c r="E598" s="227" t="s">
        <v>94</v>
      </c>
      <c r="F598" s="148" t="s">
        <v>689</v>
      </c>
      <c r="G598" s="883"/>
      <c r="H598" s="879"/>
      <c r="I598" s="880"/>
      <c r="J598" s="149"/>
      <c r="K598" s="149"/>
      <c r="L598" s="149"/>
      <c r="M598" s="149"/>
      <c r="N598" s="149"/>
      <c r="O598" s="149"/>
      <c r="P598" s="149"/>
      <c r="Q598" s="149"/>
      <c r="R598" s="149"/>
      <c r="S598" s="149"/>
      <c r="T598" s="149"/>
      <c r="U598" s="149"/>
      <c r="V598" s="149"/>
      <c r="W598" s="149"/>
      <c r="X598" s="149"/>
      <c r="Y598" s="149"/>
      <c r="Z598" s="149"/>
      <c r="AA598" s="149"/>
      <c r="AB598" s="149"/>
      <c r="AC598" s="149"/>
      <c r="AD598" s="149"/>
      <c r="AE598" s="149"/>
      <c r="AF598" s="149"/>
      <c r="AG598" s="149"/>
      <c r="AH598" s="149"/>
      <c r="AI598" s="149"/>
    </row>
    <row r="599" spans="1:35" ht="36">
      <c r="A599" s="146" t="s">
        <v>49</v>
      </c>
      <c r="B599" s="147">
        <v>12</v>
      </c>
      <c r="C599" s="253" t="s">
        <v>21</v>
      </c>
      <c r="D599" s="151">
        <v>3522</v>
      </c>
      <c r="E599" s="227" t="s">
        <v>755</v>
      </c>
      <c r="F599" s="148" t="s">
        <v>689</v>
      </c>
      <c r="G599" s="883"/>
      <c r="H599" s="879"/>
      <c r="I599" s="880"/>
      <c r="J599" s="149"/>
      <c r="K599" s="149"/>
      <c r="L599" s="149"/>
      <c r="M599" s="149"/>
      <c r="N599" s="149"/>
      <c r="O599" s="149"/>
      <c r="P599" s="149"/>
      <c r="Q599" s="149"/>
      <c r="R599" s="149"/>
      <c r="S599" s="149"/>
      <c r="T599" s="149"/>
      <c r="U599" s="149"/>
      <c r="V599" s="149"/>
      <c r="W599" s="149"/>
      <c r="X599" s="149"/>
      <c r="Y599" s="149"/>
      <c r="Z599" s="149"/>
      <c r="AA599" s="149"/>
      <c r="AB599" s="149"/>
      <c r="AC599" s="149"/>
      <c r="AD599" s="149"/>
      <c r="AE599" s="149"/>
      <c r="AF599" s="149"/>
      <c r="AG599" s="149"/>
      <c r="AH599" s="149"/>
      <c r="AI599" s="149"/>
    </row>
    <row r="600" spans="1:35" ht="84">
      <c r="A600" s="146" t="s">
        <v>49</v>
      </c>
      <c r="B600" s="147">
        <v>12</v>
      </c>
      <c r="C600" s="253" t="s">
        <v>21</v>
      </c>
      <c r="D600" s="151">
        <v>3691</v>
      </c>
      <c r="E600" s="227" t="s">
        <v>36</v>
      </c>
      <c r="F600" s="148" t="s">
        <v>689</v>
      </c>
      <c r="G600" s="883"/>
      <c r="H600" s="879"/>
      <c r="I600" s="880"/>
      <c r="J600" s="149"/>
      <c r="K600" s="149"/>
      <c r="L600" s="149"/>
      <c r="M600" s="149"/>
      <c r="N600" s="149"/>
      <c r="O600" s="149"/>
      <c r="P600" s="149"/>
      <c r="Q600" s="149"/>
      <c r="R600" s="149"/>
      <c r="S600" s="149"/>
      <c r="T600" s="149"/>
      <c r="U600" s="149"/>
      <c r="V600" s="149"/>
      <c r="W600" s="149"/>
      <c r="X600" s="149"/>
      <c r="Y600" s="149"/>
      <c r="Z600" s="149"/>
      <c r="AA600" s="149"/>
      <c r="AB600" s="149"/>
      <c r="AC600" s="149"/>
      <c r="AD600" s="149"/>
      <c r="AE600" s="149"/>
      <c r="AF600" s="149"/>
      <c r="AG600" s="149"/>
      <c r="AH600" s="149"/>
      <c r="AI600" s="149"/>
    </row>
    <row r="601" spans="1:35" ht="84">
      <c r="A601" s="150" t="s">
        <v>49</v>
      </c>
      <c r="B601" s="151">
        <v>12</v>
      </c>
      <c r="C601" s="254" t="s">
        <v>21</v>
      </c>
      <c r="D601" s="151">
        <v>3692</v>
      </c>
      <c r="E601" s="227" t="s">
        <v>695</v>
      </c>
      <c r="F601" s="153" t="s">
        <v>689</v>
      </c>
      <c r="G601" s="883"/>
      <c r="H601" s="879"/>
      <c r="I601" s="880"/>
      <c r="J601" s="149"/>
      <c r="K601" s="149"/>
      <c r="L601" s="149"/>
      <c r="M601" s="149"/>
      <c r="N601" s="149"/>
      <c r="O601" s="149"/>
      <c r="P601" s="149"/>
      <c r="Q601" s="149"/>
      <c r="R601" s="149"/>
      <c r="S601" s="149"/>
      <c r="T601" s="149"/>
      <c r="U601" s="149"/>
      <c r="V601" s="149"/>
      <c r="W601" s="149"/>
      <c r="X601" s="149"/>
      <c r="Y601" s="149"/>
      <c r="Z601" s="149"/>
      <c r="AA601" s="149"/>
      <c r="AB601" s="149"/>
      <c r="AC601" s="149"/>
      <c r="AD601" s="149"/>
      <c r="AE601" s="149"/>
      <c r="AF601" s="149"/>
      <c r="AG601" s="149"/>
      <c r="AH601" s="149"/>
      <c r="AI601" s="149"/>
    </row>
    <row r="602" spans="1:35" ht="120">
      <c r="A602" s="848" t="s">
        <v>49</v>
      </c>
      <c r="B602" s="849">
        <v>12</v>
      </c>
      <c r="C602" s="850" t="s">
        <v>21</v>
      </c>
      <c r="D602" s="854">
        <v>3691</v>
      </c>
      <c r="E602" s="855" t="s">
        <v>37</v>
      </c>
      <c r="F602" s="863" t="s">
        <v>689</v>
      </c>
      <c r="G602" s="883"/>
      <c r="H602" s="879"/>
      <c r="I602" s="880"/>
      <c r="J602" s="149"/>
      <c r="K602" s="149"/>
      <c r="L602" s="149"/>
      <c r="M602" s="149"/>
      <c r="N602" s="149"/>
      <c r="O602" s="149"/>
      <c r="P602" s="149"/>
      <c r="Q602" s="149"/>
      <c r="R602" s="149"/>
      <c r="S602" s="149"/>
      <c r="T602" s="149"/>
      <c r="U602" s="149"/>
      <c r="V602" s="149"/>
      <c r="W602" s="149"/>
      <c r="X602" s="149"/>
      <c r="Y602" s="149"/>
      <c r="Z602" s="149"/>
      <c r="AA602" s="149"/>
      <c r="AB602" s="149"/>
      <c r="AC602" s="149"/>
      <c r="AD602" s="149"/>
      <c r="AE602" s="149"/>
      <c r="AF602" s="149"/>
      <c r="AG602" s="149"/>
      <c r="AH602" s="149"/>
      <c r="AI602" s="149"/>
    </row>
    <row r="603" spans="1:35" ht="48">
      <c r="A603" s="150" t="s">
        <v>49</v>
      </c>
      <c r="B603" s="151">
        <v>12</v>
      </c>
      <c r="C603" s="254" t="s">
        <v>21</v>
      </c>
      <c r="D603" s="151">
        <v>3721</v>
      </c>
      <c r="E603" s="227" t="s">
        <v>84</v>
      </c>
      <c r="F603" s="153" t="s">
        <v>689</v>
      </c>
      <c r="G603" s="883"/>
      <c r="H603" s="879"/>
      <c r="I603" s="880"/>
      <c r="J603" s="149"/>
      <c r="K603" s="149"/>
      <c r="L603" s="149"/>
      <c r="M603" s="149"/>
      <c r="N603" s="149"/>
      <c r="O603" s="149"/>
      <c r="P603" s="149"/>
      <c r="Q603" s="149"/>
      <c r="R603" s="149"/>
      <c r="S603" s="149"/>
      <c r="T603" s="149"/>
      <c r="U603" s="149"/>
      <c r="V603" s="149"/>
      <c r="W603" s="149"/>
      <c r="X603" s="149"/>
      <c r="Y603" s="149"/>
      <c r="Z603" s="149"/>
      <c r="AA603" s="149"/>
      <c r="AB603" s="149"/>
      <c r="AC603" s="149"/>
      <c r="AD603" s="149"/>
      <c r="AE603" s="149"/>
      <c r="AF603" s="149"/>
      <c r="AG603" s="149"/>
      <c r="AH603" s="149"/>
      <c r="AI603" s="149"/>
    </row>
    <row r="604" spans="1:35" ht="36">
      <c r="A604" s="150" t="s">
        <v>49</v>
      </c>
      <c r="B604" s="151">
        <v>12</v>
      </c>
      <c r="C604" s="254" t="s">
        <v>21</v>
      </c>
      <c r="D604" s="151">
        <v>3811</v>
      </c>
      <c r="E604" s="227" t="s">
        <v>56</v>
      </c>
      <c r="F604" s="153" t="s">
        <v>689</v>
      </c>
      <c r="G604" s="883"/>
      <c r="H604" s="879"/>
      <c r="I604" s="880"/>
      <c r="J604" s="149"/>
      <c r="K604" s="149"/>
      <c r="L604" s="149"/>
      <c r="M604" s="149"/>
      <c r="N604" s="149"/>
      <c r="O604" s="149"/>
      <c r="P604" s="149"/>
      <c r="Q604" s="149"/>
      <c r="R604" s="149"/>
      <c r="S604" s="149"/>
      <c r="T604" s="149"/>
      <c r="U604" s="149"/>
      <c r="V604" s="149"/>
      <c r="W604" s="149"/>
      <c r="X604" s="149"/>
      <c r="Y604" s="149"/>
      <c r="Z604" s="149"/>
      <c r="AA604" s="149"/>
      <c r="AB604" s="149"/>
      <c r="AC604" s="149"/>
      <c r="AD604" s="149"/>
      <c r="AE604" s="149"/>
      <c r="AF604" s="149"/>
      <c r="AG604" s="149"/>
      <c r="AH604" s="149"/>
      <c r="AI604" s="149"/>
    </row>
    <row r="605" spans="1:35" ht="48">
      <c r="A605" s="150" t="s">
        <v>49</v>
      </c>
      <c r="B605" s="151">
        <v>12</v>
      </c>
      <c r="C605" s="254" t="s">
        <v>21</v>
      </c>
      <c r="D605" s="151">
        <v>383</v>
      </c>
      <c r="E605" s="227" t="s">
        <v>756</v>
      </c>
      <c r="F605" s="153" t="s">
        <v>689</v>
      </c>
      <c r="G605" s="883"/>
      <c r="H605" s="879"/>
      <c r="I605" s="880"/>
      <c r="J605" s="149"/>
      <c r="K605" s="149"/>
      <c r="L605" s="149"/>
      <c r="M605" s="149"/>
      <c r="N605" s="149"/>
      <c r="O605" s="149"/>
      <c r="P605" s="149"/>
      <c r="Q605" s="149"/>
      <c r="R605" s="149"/>
      <c r="S605" s="149"/>
      <c r="T605" s="149"/>
      <c r="U605" s="149"/>
      <c r="V605" s="149"/>
      <c r="W605" s="149"/>
      <c r="X605" s="149"/>
      <c r="Y605" s="149"/>
      <c r="Z605" s="149"/>
      <c r="AA605" s="149"/>
      <c r="AB605" s="149"/>
      <c r="AC605" s="149"/>
      <c r="AD605" s="149"/>
      <c r="AE605" s="149"/>
      <c r="AF605" s="149"/>
      <c r="AG605" s="149"/>
      <c r="AH605" s="149"/>
      <c r="AI605" s="149"/>
    </row>
    <row r="606" spans="1:35" ht="36">
      <c r="A606" s="150" t="s">
        <v>49</v>
      </c>
      <c r="B606" s="151">
        <v>12</v>
      </c>
      <c r="C606" s="254" t="s">
        <v>21</v>
      </c>
      <c r="D606" s="151">
        <v>4123</v>
      </c>
      <c r="E606" s="227" t="s">
        <v>92</v>
      </c>
      <c r="F606" s="153" t="s">
        <v>689</v>
      </c>
      <c r="G606" s="883"/>
      <c r="H606" s="879"/>
      <c r="I606" s="880"/>
      <c r="J606" s="149"/>
      <c r="K606" s="149"/>
      <c r="L606" s="149"/>
      <c r="M606" s="149"/>
      <c r="N606" s="149"/>
      <c r="O606" s="149"/>
      <c r="P606" s="149"/>
      <c r="Q606" s="149"/>
      <c r="R606" s="149"/>
      <c r="S606" s="149"/>
      <c r="T606" s="149"/>
      <c r="U606" s="149"/>
      <c r="V606" s="149"/>
      <c r="W606" s="149"/>
      <c r="X606" s="149"/>
      <c r="Y606" s="149"/>
      <c r="Z606" s="149"/>
      <c r="AA606" s="149"/>
      <c r="AB606" s="149"/>
      <c r="AC606" s="149"/>
      <c r="AD606" s="149"/>
      <c r="AE606" s="149"/>
      <c r="AF606" s="149"/>
      <c r="AG606" s="149"/>
      <c r="AH606" s="149"/>
      <c r="AI606" s="149"/>
    </row>
    <row r="607" spans="1:35" ht="60">
      <c r="A607" s="150" t="s">
        <v>49</v>
      </c>
      <c r="B607" s="151">
        <v>12</v>
      </c>
      <c r="C607" s="254" t="s">
        <v>21</v>
      </c>
      <c r="D607" s="151">
        <v>4124</v>
      </c>
      <c r="E607" s="227" t="s">
        <v>721</v>
      </c>
      <c r="F607" s="153" t="s">
        <v>689</v>
      </c>
      <c r="G607" s="883"/>
      <c r="H607" s="879"/>
      <c r="I607" s="880"/>
      <c r="J607" s="149"/>
      <c r="K607" s="149"/>
      <c r="L607" s="149"/>
      <c r="M607" s="149"/>
      <c r="N607" s="149"/>
      <c r="O607" s="149"/>
      <c r="P607" s="149"/>
      <c r="Q607" s="149"/>
      <c r="R607" s="149"/>
      <c r="S607" s="149"/>
      <c r="T607" s="149"/>
      <c r="U607" s="149"/>
      <c r="V607" s="149"/>
      <c r="W607" s="149"/>
      <c r="X607" s="149"/>
      <c r="Y607" s="149"/>
      <c r="Z607" s="149"/>
      <c r="AA607" s="149"/>
      <c r="AB607" s="149"/>
      <c r="AC607" s="149"/>
      <c r="AD607" s="149"/>
      <c r="AE607" s="149"/>
      <c r="AF607" s="149"/>
      <c r="AG607" s="149"/>
      <c r="AH607" s="149"/>
      <c r="AI607" s="149"/>
    </row>
    <row r="608" spans="1:35" ht="36">
      <c r="A608" s="150" t="s">
        <v>49</v>
      </c>
      <c r="B608" s="151">
        <v>12</v>
      </c>
      <c r="C608" s="254" t="s">
        <v>21</v>
      </c>
      <c r="D608" s="151">
        <v>4126</v>
      </c>
      <c r="E608" s="227" t="s">
        <v>757</v>
      </c>
      <c r="F608" s="153" t="s">
        <v>689</v>
      </c>
      <c r="G608" s="883"/>
      <c r="H608" s="879"/>
      <c r="I608" s="880"/>
      <c r="J608" s="149"/>
      <c r="K608" s="149"/>
      <c r="L608" s="149"/>
      <c r="M608" s="149"/>
      <c r="N608" s="149"/>
      <c r="O608" s="149"/>
      <c r="P608" s="149"/>
      <c r="Q608" s="149"/>
      <c r="R608" s="149"/>
      <c r="S608" s="149"/>
      <c r="T608" s="149"/>
      <c r="U608" s="149"/>
      <c r="V608" s="149"/>
      <c r="W608" s="149"/>
      <c r="X608" s="149"/>
      <c r="Y608" s="149"/>
      <c r="Z608" s="149"/>
      <c r="AA608" s="149"/>
      <c r="AB608" s="149"/>
      <c r="AC608" s="149"/>
      <c r="AD608" s="149"/>
      <c r="AE608" s="149"/>
      <c r="AF608" s="149"/>
      <c r="AG608" s="149"/>
      <c r="AH608" s="149"/>
      <c r="AI608" s="149"/>
    </row>
    <row r="609" spans="1:35" ht="36">
      <c r="A609" s="150" t="s">
        <v>49</v>
      </c>
      <c r="B609" s="151">
        <v>12</v>
      </c>
      <c r="C609" s="254" t="s">
        <v>21</v>
      </c>
      <c r="D609" s="151">
        <v>4212</v>
      </c>
      <c r="E609" s="227" t="s">
        <v>58</v>
      </c>
      <c r="F609" s="153" t="s">
        <v>689</v>
      </c>
      <c r="G609" s="883"/>
      <c r="H609" s="879"/>
      <c r="I609" s="880"/>
      <c r="J609" s="149"/>
      <c r="K609" s="149"/>
      <c r="L609" s="149"/>
      <c r="M609" s="149"/>
      <c r="N609" s="149"/>
      <c r="O609" s="149"/>
      <c r="P609" s="149"/>
      <c r="Q609" s="149"/>
      <c r="R609" s="149"/>
      <c r="S609" s="149"/>
      <c r="T609" s="149"/>
      <c r="U609" s="149"/>
      <c r="V609" s="149"/>
      <c r="W609" s="149"/>
      <c r="X609" s="149"/>
      <c r="Y609" s="149"/>
      <c r="Z609" s="149"/>
      <c r="AA609" s="149"/>
      <c r="AB609" s="149"/>
      <c r="AC609" s="149"/>
      <c r="AD609" s="149"/>
      <c r="AE609" s="149"/>
      <c r="AF609" s="149"/>
      <c r="AG609" s="149"/>
      <c r="AH609" s="149"/>
      <c r="AI609" s="149"/>
    </row>
    <row r="610" spans="1:35" ht="60">
      <c r="A610" s="150" t="s">
        <v>49</v>
      </c>
      <c r="B610" s="151">
        <v>12</v>
      </c>
      <c r="C610" s="254" t="s">
        <v>21</v>
      </c>
      <c r="D610" s="151">
        <v>4213</v>
      </c>
      <c r="E610" s="227" t="s">
        <v>758</v>
      </c>
      <c r="F610" s="153" t="s">
        <v>689</v>
      </c>
      <c r="G610" s="883"/>
      <c r="H610" s="879"/>
      <c r="I610" s="880"/>
      <c r="J610" s="149"/>
      <c r="K610" s="149"/>
      <c r="L610" s="149"/>
      <c r="M610" s="149"/>
      <c r="N610" s="149"/>
      <c r="O610" s="149"/>
      <c r="P610" s="149"/>
      <c r="Q610" s="149"/>
      <c r="R610" s="149"/>
      <c r="S610" s="149"/>
      <c r="T610" s="149"/>
      <c r="U610" s="149"/>
      <c r="V610" s="149"/>
      <c r="W610" s="149"/>
      <c r="X610" s="149"/>
      <c r="Y610" s="149"/>
      <c r="Z610" s="149"/>
      <c r="AA610" s="149"/>
      <c r="AB610" s="149"/>
      <c r="AC610" s="149"/>
      <c r="AD610" s="149"/>
      <c r="AE610" s="149"/>
      <c r="AF610" s="149"/>
      <c r="AG610" s="149"/>
      <c r="AH610" s="149"/>
      <c r="AI610" s="149"/>
    </row>
    <row r="611" spans="1:35" ht="36">
      <c r="A611" s="150" t="s">
        <v>49</v>
      </c>
      <c r="B611" s="151">
        <v>12</v>
      </c>
      <c r="C611" s="254" t="s">
        <v>21</v>
      </c>
      <c r="D611" s="151">
        <v>4214</v>
      </c>
      <c r="E611" s="227" t="s">
        <v>719</v>
      </c>
      <c r="F611" s="153" t="s">
        <v>689</v>
      </c>
      <c r="G611" s="883"/>
      <c r="H611" s="879"/>
      <c r="I611" s="880"/>
      <c r="J611" s="149"/>
      <c r="K611" s="149"/>
      <c r="L611" s="149"/>
      <c r="M611" s="149"/>
      <c r="N611" s="149"/>
      <c r="O611" s="149"/>
      <c r="P611" s="149"/>
      <c r="Q611" s="149"/>
      <c r="R611" s="149"/>
      <c r="S611" s="149"/>
      <c r="T611" s="149"/>
      <c r="U611" s="149"/>
      <c r="V611" s="149"/>
      <c r="W611" s="149"/>
      <c r="X611" s="149"/>
      <c r="Y611" s="149"/>
      <c r="Z611" s="149"/>
      <c r="AA611" s="149"/>
      <c r="AB611" s="149"/>
      <c r="AC611" s="149"/>
      <c r="AD611" s="149"/>
      <c r="AE611" s="149"/>
      <c r="AF611" s="149"/>
      <c r="AG611" s="149"/>
      <c r="AH611" s="149"/>
      <c r="AI611" s="149"/>
    </row>
    <row r="612" spans="1:35" ht="36">
      <c r="A612" s="150" t="s">
        <v>49</v>
      </c>
      <c r="B612" s="151">
        <v>12</v>
      </c>
      <c r="C612" s="254" t="s">
        <v>21</v>
      </c>
      <c r="D612" s="151">
        <v>4221</v>
      </c>
      <c r="E612" s="227" t="s">
        <v>63</v>
      </c>
      <c r="F612" s="153" t="s">
        <v>689</v>
      </c>
      <c r="G612" s="883"/>
      <c r="H612" s="879"/>
      <c r="I612" s="880"/>
      <c r="J612" s="149"/>
      <c r="K612" s="149"/>
      <c r="L612" s="149"/>
      <c r="M612" s="149"/>
      <c r="N612" s="149"/>
      <c r="O612" s="149"/>
      <c r="P612" s="149"/>
      <c r="Q612" s="149"/>
      <c r="R612" s="149"/>
      <c r="S612" s="149"/>
      <c r="T612" s="149"/>
      <c r="U612" s="149"/>
      <c r="V612" s="149"/>
      <c r="W612" s="149"/>
      <c r="X612" s="149"/>
      <c r="Y612" s="149"/>
      <c r="Z612" s="149"/>
      <c r="AA612" s="149"/>
      <c r="AB612" s="149"/>
      <c r="AC612" s="149"/>
      <c r="AD612" s="149"/>
      <c r="AE612" s="149"/>
      <c r="AF612" s="149"/>
      <c r="AG612" s="149"/>
      <c r="AH612" s="149"/>
      <c r="AI612" s="149"/>
    </row>
    <row r="613" spans="1:35" s="161" customFormat="1" ht="36">
      <c r="A613" s="150" t="s">
        <v>49</v>
      </c>
      <c r="B613" s="151">
        <v>12</v>
      </c>
      <c r="C613" s="254" t="s">
        <v>21</v>
      </c>
      <c r="D613" s="151">
        <v>4222</v>
      </c>
      <c r="E613" s="227" t="s">
        <v>72</v>
      </c>
      <c r="F613" s="153" t="s">
        <v>689</v>
      </c>
      <c r="G613" s="883"/>
      <c r="H613" s="879"/>
      <c r="I613" s="880"/>
      <c r="J613" s="160"/>
      <c r="K613" s="160"/>
      <c r="L613" s="160"/>
      <c r="M613" s="160"/>
      <c r="N613" s="160"/>
      <c r="O613" s="160"/>
      <c r="P613" s="160"/>
      <c r="Q613" s="160"/>
      <c r="R613" s="160"/>
      <c r="S613" s="160"/>
      <c r="T613" s="160"/>
      <c r="U613" s="160"/>
      <c r="V613" s="160"/>
      <c r="W613" s="160"/>
      <c r="X613" s="160"/>
      <c r="Y613" s="160"/>
      <c r="Z613" s="160"/>
      <c r="AA613" s="160"/>
      <c r="AB613" s="160"/>
      <c r="AC613" s="160"/>
      <c r="AD613" s="160"/>
      <c r="AE613" s="160"/>
      <c r="AF613" s="160"/>
      <c r="AG613" s="160"/>
      <c r="AH613" s="160"/>
      <c r="AI613" s="160"/>
    </row>
    <row r="614" spans="1:35" ht="36">
      <c r="A614" s="150" t="s">
        <v>49</v>
      </c>
      <c r="B614" s="151">
        <v>12</v>
      </c>
      <c r="C614" s="254" t="s">
        <v>21</v>
      </c>
      <c r="D614" s="151">
        <v>4223</v>
      </c>
      <c r="E614" s="227" t="s">
        <v>90</v>
      </c>
      <c r="F614" s="153" t="s">
        <v>689</v>
      </c>
      <c r="G614" s="883"/>
      <c r="H614" s="879"/>
      <c r="I614" s="880"/>
      <c r="J614" s="149"/>
      <c r="K614" s="149"/>
      <c r="L614" s="149"/>
      <c r="M614" s="149"/>
      <c r="N614" s="149"/>
      <c r="O614" s="149"/>
      <c r="P614" s="149"/>
      <c r="Q614" s="149"/>
      <c r="R614" s="149"/>
      <c r="S614" s="149"/>
      <c r="T614" s="149"/>
      <c r="U614" s="149"/>
      <c r="V614" s="149"/>
      <c r="W614" s="149"/>
      <c r="X614" s="149"/>
      <c r="Y614" s="149"/>
      <c r="Z614" s="149"/>
      <c r="AA614" s="149"/>
      <c r="AB614" s="149"/>
      <c r="AC614" s="149"/>
      <c r="AD614" s="149"/>
      <c r="AE614" s="149"/>
      <c r="AF614" s="149"/>
      <c r="AG614" s="149"/>
      <c r="AH614" s="149"/>
      <c r="AI614" s="149"/>
    </row>
    <row r="615" spans="1:35" ht="36">
      <c r="A615" s="150" t="s">
        <v>49</v>
      </c>
      <c r="B615" s="151">
        <v>12</v>
      </c>
      <c r="C615" s="254" t="s">
        <v>21</v>
      </c>
      <c r="D615" s="151">
        <v>4224</v>
      </c>
      <c r="E615" s="227" t="s">
        <v>73</v>
      </c>
      <c r="F615" s="153" t="s">
        <v>689</v>
      </c>
      <c r="G615" s="883"/>
      <c r="H615" s="879"/>
      <c r="I615" s="880"/>
      <c r="J615" s="149"/>
      <c r="K615" s="149"/>
      <c r="L615" s="149"/>
      <c r="M615" s="149"/>
      <c r="N615" s="149"/>
      <c r="O615" s="149"/>
      <c r="P615" s="149"/>
      <c r="Q615" s="149"/>
      <c r="R615" s="149"/>
      <c r="S615" s="149"/>
      <c r="T615" s="149"/>
      <c r="U615" s="149"/>
      <c r="V615" s="149"/>
      <c r="W615" s="149"/>
      <c r="X615" s="149"/>
      <c r="Y615" s="149"/>
      <c r="Z615" s="149"/>
      <c r="AA615" s="149"/>
      <c r="AB615" s="149"/>
      <c r="AC615" s="149"/>
      <c r="AD615" s="149"/>
      <c r="AE615" s="149"/>
      <c r="AF615" s="149"/>
      <c r="AG615" s="149"/>
      <c r="AH615" s="149"/>
      <c r="AI615" s="149"/>
    </row>
    <row r="616" spans="1:35" ht="36">
      <c r="A616" s="150" t="s">
        <v>49</v>
      </c>
      <c r="B616" s="151">
        <v>12</v>
      </c>
      <c r="C616" s="254" t="s">
        <v>21</v>
      </c>
      <c r="D616" s="151">
        <v>4225</v>
      </c>
      <c r="E616" s="227" t="s">
        <v>85</v>
      </c>
      <c r="F616" s="153" t="s">
        <v>689</v>
      </c>
      <c r="G616" s="883"/>
      <c r="H616" s="879"/>
      <c r="I616" s="880"/>
      <c r="J616" s="149"/>
      <c r="K616" s="149"/>
      <c r="L616" s="149"/>
      <c r="M616" s="149"/>
      <c r="N616" s="149"/>
      <c r="O616" s="149"/>
      <c r="P616" s="149"/>
      <c r="Q616" s="149"/>
      <c r="R616" s="149"/>
      <c r="S616" s="149"/>
      <c r="T616" s="149"/>
      <c r="U616" s="149"/>
      <c r="V616" s="149"/>
      <c r="W616" s="149"/>
      <c r="X616" s="149"/>
      <c r="Y616" s="149"/>
      <c r="Z616" s="149"/>
      <c r="AA616" s="149"/>
      <c r="AB616" s="149"/>
      <c r="AC616" s="149"/>
      <c r="AD616" s="149"/>
      <c r="AE616" s="149"/>
      <c r="AF616" s="149"/>
      <c r="AG616" s="149"/>
      <c r="AH616" s="149"/>
      <c r="AI616" s="149"/>
    </row>
    <row r="617" spans="1:35" ht="36">
      <c r="A617" s="150" t="s">
        <v>49</v>
      </c>
      <c r="B617" s="151">
        <v>12</v>
      </c>
      <c r="C617" s="254" t="s">
        <v>21</v>
      </c>
      <c r="D617" s="151">
        <v>4226</v>
      </c>
      <c r="E617" s="227" t="s">
        <v>716</v>
      </c>
      <c r="F617" s="153" t="s">
        <v>689</v>
      </c>
      <c r="G617" s="883"/>
      <c r="H617" s="879"/>
      <c r="I617" s="880"/>
      <c r="J617" s="149"/>
      <c r="K617" s="149"/>
      <c r="L617" s="149"/>
      <c r="M617" s="149"/>
      <c r="N617" s="149"/>
      <c r="O617" s="149"/>
      <c r="P617" s="149"/>
      <c r="Q617" s="149"/>
      <c r="R617" s="149"/>
      <c r="S617" s="149"/>
      <c r="T617" s="149"/>
      <c r="U617" s="149"/>
      <c r="V617" s="149"/>
      <c r="W617" s="149"/>
      <c r="X617" s="149"/>
      <c r="Y617" s="149"/>
      <c r="Z617" s="149"/>
      <c r="AA617" s="149"/>
      <c r="AB617" s="149"/>
      <c r="AC617" s="149"/>
      <c r="AD617" s="149"/>
      <c r="AE617" s="149"/>
      <c r="AF617" s="149"/>
      <c r="AG617" s="149"/>
      <c r="AH617" s="149"/>
      <c r="AI617" s="149"/>
    </row>
    <row r="618" spans="1:35" ht="60">
      <c r="A618" s="150" t="s">
        <v>49</v>
      </c>
      <c r="B618" s="151">
        <v>12</v>
      </c>
      <c r="C618" s="254" t="s">
        <v>21</v>
      </c>
      <c r="D618" s="151">
        <v>4227</v>
      </c>
      <c r="E618" s="227" t="s">
        <v>93</v>
      </c>
      <c r="F618" s="153" t="s">
        <v>689</v>
      </c>
      <c r="G618" s="883"/>
      <c r="H618" s="879"/>
      <c r="I618" s="880"/>
      <c r="J618" s="149"/>
      <c r="K618" s="149"/>
      <c r="L618" s="149"/>
      <c r="M618" s="149"/>
      <c r="N618" s="149"/>
      <c r="O618" s="149"/>
      <c r="P618" s="149"/>
      <c r="Q618" s="149"/>
      <c r="R618" s="149"/>
      <c r="S618" s="149"/>
      <c r="T618" s="149"/>
      <c r="U618" s="149"/>
      <c r="V618" s="149"/>
      <c r="W618" s="149"/>
      <c r="X618" s="149"/>
      <c r="Y618" s="149"/>
      <c r="Z618" s="149"/>
      <c r="AA618" s="149"/>
      <c r="AB618" s="149"/>
      <c r="AC618" s="149"/>
      <c r="AD618" s="149"/>
      <c r="AE618" s="149"/>
      <c r="AF618" s="149"/>
      <c r="AG618" s="149"/>
      <c r="AH618" s="149"/>
      <c r="AI618" s="149"/>
    </row>
    <row r="619" spans="1:35" ht="48">
      <c r="A619" s="150" t="s">
        <v>49</v>
      </c>
      <c r="B619" s="151">
        <v>12</v>
      </c>
      <c r="C619" s="254" t="s">
        <v>21</v>
      </c>
      <c r="D619" s="151">
        <v>4231</v>
      </c>
      <c r="E619" s="227" t="s">
        <v>98</v>
      </c>
      <c r="F619" s="153" t="s">
        <v>689</v>
      </c>
      <c r="G619" s="883"/>
      <c r="H619" s="879"/>
      <c r="I619" s="880"/>
      <c r="J619" s="149"/>
      <c r="K619" s="149"/>
      <c r="L619" s="149"/>
      <c r="M619" s="149"/>
      <c r="N619" s="149"/>
      <c r="O619" s="149"/>
      <c r="P619" s="149"/>
      <c r="Q619" s="149"/>
      <c r="R619" s="149"/>
      <c r="S619" s="149"/>
      <c r="T619" s="149"/>
      <c r="U619" s="149"/>
      <c r="V619" s="149"/>
      <c r="W619" s="149"/>
      <c r="X619" s="149"/>
      <c r="Y619" s="149"/>
      <c r="Z619" s="149"/>
      <c r="AA619" s="149"/>
      <c r="AB619" s="149"/>
      <c r="AC619" s="149"/>
      <c r="AD619" s="149"/>
      <c r="AE619" s="149"/>
      <c r="AF619" s="149"/>
      <c r="AG619" s="149"/>
      <c r="AH619" s="149"/>
      <c r="AI619" s="149"/>
    </row>
    <row r="620" spans="1:35" ht="60">
      <c r="A620" s="150" t="s">
        <v>49</v>
      </c>
      <c r="B620" s="151">
        <v>12</v>
      </c>
      <c r="C620" s="254" t="s">
        <v>21</v>
      </c>
      <c r="D620" s="151">
        <v>4233</v>
      </c>
      <c r="E620" s="227" t="s">
        <v>759</v>
      </c>
      <c r="F620" s="153" t="s">
        <v>689</v>
      </c>
      <c r="G620" s="883"/>
      <c r="H620" s="879"/>
      <c r="I620" s="880"/>
      <c r="J620" s="149"/>
      <c r="K620" s="149"/>
      <c r="L620" s="149"/>
      <c r="M620" s="149"/>
      <c r="N620" s="149"/>
      <c r="O620" s="149"/>
      <c r="P620" s="149"/>
      <c r="Q620" s="149"/>
      <c r="R620" s="149"/>
      <c r="S620" s="149"/>
      <c r="T620" s="149"/>
      <c r="U620" s="149"/>
      <c r="V620" s="149"/>
      <c r="W620" s="149"/>
      <c r="X620" s="149"/>
      <c r="Y620" s="149"/>
      <c r="Z620" s="149"/>
      <c r="AA620" s="149"/>
      <c r="AB620" s="149"/>
      <c r="AC620" s="149"/>
      <c r="AD620" s="149"/>
      <c r="AE620" s="149"/>
      <c r="AF620" s="149"/>
      <c r="AG620" s="149"/>
      <c r="AH620" s="149"/>
      <c r="AI620" s="149"/>
    </row>
    <row r="621" spans="1:35" ht="36">
      <c r="A621" s="150" t="s">
        <v>49</v>
      </c>
      <c r="B621" s="151">
        <v>12</v>
      </c>
      <c r="C621" s="254" t="s">
        <v>21</v>
      </c>
      <c r="D621" s="151">
        <v>4241</v>
      </c>
      <c r="E621" s="227" t="s">
        <v>74</v>
      </c>
      <c r="F621" s="153" t="s">
        <v>689</v>
      </c>
      <c r="G621" s="883"/>
      <c r="H621" s="879"/>
      <c r="I621" s="880"/>
      <c r="J621" s="149"/>
      <c r="K621" s="149"/>
      <c r="L621" s="149"/>
      <c r="M621" s="149"/>
      <c r="N621" s="149"/>
      <c r="O621" s="149"/>
      <c r="P621" s="149"/>
      <c r="Q621" s="149"/>
      <c r="R621" s="149"/>
      <c r="S621" s="149"/>
      <c r="T621" s="149"/>
      <c r="U621" s="149"/>
      <c r="V621" s="149"/>
      <c r="W621" s="149"/>
      <c r="X621" s="149"/>
      <c r="Y621" s="149"/>
      <c r="Z621" s="149"/>
      <c r="AA621" s="149"/>
      <c r="AB621" s="149"/>
      <c r="AC621" s="149"/>
      <c r="AD621" s="149"/>
      <c r="AE621" s="149"/>
      <c r="AF621" s="149"/>
      <c r="AG621" s="149"/>
      <c r="AH621" s="149"/>
      <c r="AI621" s="149"/>
    </row>
    <row r="622" spans="1:35" ht="48">
      <c r="A622" s="150" t="s">
        <v>49</v>
      </c>
      <c r="B622" s="151">
        <v>12</v>
      </c>
      <c r="C622" s="254" t="s">
        <v>21</v>
      </c>
      <c r="D622" s="151">
        <v>4244</v>
      </c>
      <c r="E622" s="227" t="s">
        <v>760</v>
      </c>
      <c r="F622" s="153" t="s">
        <v>689</v>
      </c>
      <c r="G622" s="883"/>
      <c r="H622" s="879"/>
      <c r="I622" s="880"/>
      <c r="J622" s="149"/>
      <c r="K622" s="149"/>
      <c r="L622" s="149"/>
      <c r="M622" s="149"/>
      <c r="N622" s="149"/>
      <c r="O622" s="149"/>
      <c r="P622" s="149"/>
      <c r="Q622" s="149"/>
      <c r="R622" s="149"/>
      <c r="S622" s="149"/>
      <c r="T622" s="149"/>
      <c r="U622" s="149"/>
      <c r="V622" s="149"/>
      <c r="W622" s="149"/>
      <c r="X622" s="149"/>
      <c r="Y622" s="149"/>
      <c r="Z622" s="149"/>
      <c r="AA622" s="149"/>
      <c r="AB622" s="149"/>
      <c r="AC622" s="149"/>
      <c r="AD622" s="149"/>
      <c r="AE622" s="149"/>
      <c r="AF622" s="149"/>
      <c r="AG622" s="149"/>
      <c r="AH622" s="149"/>
      <c r="AI622" s="149"/>
    </row>
    <row r="623" spans="1:35" ht="36">
      <c r="A623" s="150" t="s">
        <v>49</v>
      </c>
      <c r="B623" s="151">
        <v>12</v>
      </c>
      <c r="C623" s="254" t="s">
        <v>21</v>
      </c>
      <c r="D623" s="151">
        <v>4262</v>
      </c>
      <c r="E623" s="227" t="s">
        <v>86</v>
      </c>
      <c r="F623" s="153" t="s">
        <v>689</v>
      </c>
      <c r="G623" s="883"/>
      <c r="H623" s="879"/>
      <c r="I623" s="880"/>
      <c r="J623" s="149"/>
      <c r="K623" s="149"/>
      <c r="L623" s="149"/>
      <c r="M623" s="149"/>
      <c r="N623" s="149"/>
      <c r="O623" s="149"/>
      <c r="P623" s="149"/>
      <c r="Q623" s="149"/>
      <c r="R623" s="149"/>
      <c r="S623" s="149"/>
      <c r="T623" s="149"/>
      <c r="U623" s="149"/>
      <c r="V623" s="149"/>
      <c r="W623" s="149"/>
      <c r="X623" s="149"/>
      <c r="Y623" s="149"/>
      <c r="Z623" s="149"/>
      <c r="AA623" s="149"/>
      <c r="AB623" s="149"/>
      <c r="AC623" s="149"/>
      <c r="AD623" s="149"/>
      <c r="AE623" s="149"/>
      <c r="AF623" s="149"/>
      <c r="AG623" s="149"/>
      <c r="AH623" s="149"/>
      <c r="AI623" s="149"/>
    </row>
    <row r="624" spans="1:35" ht="60">
      <c r="A624" s="150" t="s">
        <v>49</v>
      </c>
      <c r="B624" s="151">
        <v>12</v>
      </c>
      <c r="C624" s="254" t="s">
        <v>21</v>
      </c>
      <c r="D624" s="151">
        <v>4264</v>
      </c>
      <c r="E624" s="227" t="s">
        <v>761</v>
      </c>
      <c r="F624" s="153" t="s">
        <v>689</v>
      </c>
      <c r="G624" s="883"/>
      <c r="H624" s="879"/>
      <c r="I624" s="880"/>
      <c r="J624" s="149"/>
      <c r="K624" s="149"/>
      <c r="L624" s="149"/>
      <c r="M624" s="149"/>
      <c r="N624" s="149"/>
      <c r="O624" s="149"/>
      <c r="P624" s="149"/>
      <c r="Q624" s="149"/>
      <c r="R624" s="149"/>
      <c r="S624" s="149"/>
      <c r="T624" s="149"/>
      <c r="U624" s="149"/>
      <c r="V624" s="149"/>
      <c r="W624" s="149"/>
      <c r="X624" s="149"/>
      <c r="Y624" s="149"/>
      <c r="Z624" s="149"/>
      <c r="AA624" s="149"/>
      <c r="AB624" s="149"/>
      <c r="AC624" s="149"/>
      <c r="AD624" s="149"/>
      <c r="AE624" s="149"/>
      <c r="AF624" s="149"/>
      <c r="AG624" s="149"/>
      <c r="AH624" s="149"/>
      <c r="AI624" s="149"/>
    </row>
    <row r="625" spans="1:35" ht="60">
      <c r="A625" s="150" t="s">
        <v>49</v>
      </c>
      <c r="B625" s="151">
        <v>12</v>
      </c>
      <c r="C625" s="254" t="s">
        <v>21</v>
      </c>
      <c r="D625" s="151">
        <v>4312</v>
      </c>
      <c r="E625" s="227" t="s">
        <v>684</v>
      </c>
      <c r="F625" s="153" t="s">
        <v>689</v>
      </c>
      <c r="G625" s="883"/>
      <c r="H625" s="879"/>
      <c r="I625" s="880"/>
      <c r="J625" s="149"/>
      <c r="K625" s="149"/>
      <c r="L625" s="149"/>
      <c r="M625" s="149"/>
      <c r="N625" s="149"/>
      <c r="O625" s="149"/>
      <c r="P625" s="149"/>
      <c r="Q625" s="149"/>
      <c r="R625" s="149"/>
      <c r="S625" s="149"/>
      <c r="T625" s="149"/>
      <c r="U625" s="149"/>
      <c r="V625" s="149"/>
      <c r="W625" s="149"/>
      <c r="X625" s="149"/>
      <c r="Y625" s="149"/>
      <c r="Z625" s="149"/>
      <c r="AA625" s="149"/>
      <c r="AB625" s="149"/>
      <c r="AC625" s="149"/>
      <c r="AD625" s="149"/>
      <c r="AE625" s="149"/>
      <c r="AF625" s="149"/>
      <c r="AG625" s="149"/>
      <c r="AH625" s="149"/>
      <c r="AI625" s="149"/>
    </row>
    <row r="626" spans="1:35" ht="48">
      <c r="A626" s="150" t="s">
        <v>49</v>
      </c>
      <c r="B626" s="151">
        <v>12</v>
      </c>
      <c r="C626" s="254" t="s">
        <v>21</v>
      </c>
      <c r="D626" s="155">
        <v>4511</v>
      </c>
      <c r="E626" s="228" t="s">
        <v>91</v>
      </c>
      <c r="F626" s="153" t="s">
        <v>689</v>
      </c>
      <c r="G626" s="883"/>
      <c r="H626" s="879"/>
      <c r="I626" s="880"/>
      <c r="J626" s="149"/>
      <c r="K626" s="149"/>
      <c r="L626" s="149"/>
      <c r="M626" s="149"/>
      <c r="N626" s="149"/>
      <c r="O626" s="149"/>
      <c r="P626" s="149"/>
      <c r="Q626" s="149"/>
      <c r="R626" s="149"/>
      <c r="S626" s="149"/>
      <c r="T626" s="149"/>
      <c r="U626" s="149"/>
      <c r="V626" s="149"/>
      <c r="W626" s="149"/>
      <c r="X626" s="149"/>
      <c r="Y626" s="149"/>
      <c r="Z626" s="149"/>
      <c r="AA626" s="149"/>
      <c r="AB626" s="149"/>
      <c r="AC626" s="149"/>
      <c r="AD626" s="149"/>
      <c r="AE626" s="149"/>
      <c r="AF626" s="149"/>
      <c r="AG626" s="149"/>
      <c r="AH626" s="149"/>
      <c r="AI626" s="149"/>
    </row>
    <row r="627" spans="1:35" ht="48.75" thickBot="1">
      <c r="A627" s="154" t="s">
        <v>49</v>
      </c>
      <c r="B627" s="155">
        <v>12</v>
      </c>
      <c r="C627" s="255" t="s">
        <v>21</v>
      </c>
      <c r="D627" s="155">
        <v>4521</v>
      </c>
      <c r="E627" s="228" t="s">
        <v>95</v>
      </c>
      <c r="F627" s="156" t="s">
        <v>689</v>
      </c>
      <c r="G627" s="883"/>
      <c r="H627" s="879"/>
      <c r="I627" s="880"/>
      <c r="J627" s="149"/>
      <c r="K627" s="149"/>
      <c r="L627" s="149"/>
      <c r="M627" s="149"/>
      <c r="N627" s="149"/>
      <c r="O627" s="149"/>
      <c r="P627" s="149"/>
      <c r="Q627" s="149"/>
      <c r="R627" s="149"/>
      <c r="S627" s="149"/>
      <c r="T627" s="149"/>
      <c r="U627" s="149"/>
      <c r="V627" s="149"/>
      <c r="W627" s="149"/>
      <c r="X627" s="149"/>
      <c r="Y627" s="149"/>
      <c r="Z627" s="149"/>
      <c r="AA627" s="149"/>
      <c r="AB627" s="149"/>
      <c r="AC627" s="149"/>
      <c r="AD627" s="149"/>
      <c r="AE627" s="149"/>
      <c r="AF627" s="149"/>
      <c r="AG627" s="149"/>
      <c r="AH627" s="149"/>
      <c r="AI627" s="149"/>
    </row>
    <row r="628" spans="1:35" ht="36.75" thickBot="1">
      <c r="A628" s="157" t="s">
        <v>49</v>
      </c>
      <c r="B628" s="158">
        <v>12</v>
      </c>
      <c r="C628" s="256" t="s">
        <v>21</v>
      </c>
      <c r="D628" s="158"/>
      <c r="E628" s="229" t="s">
        <v>161</v>
      </c>
      <c r="F628" s="159" t="s">
        <v>689</v>
      </c>
      <c r="G628" s="881">
        <f>SUM(G560:G627)</f>
        <v>0</v>
      </c>
      <c r="H628" s="876">
        <f t="shared" ref="H628:I628" si="13">SUM(H560:H627)</f>
        <v>0</v>
      </c>
      <c r="I628" s="877">
        <f t="shared" si="13"/>
        <v>0</v>
      </c>
      <c r="J628" s="149"/>
      <c r="K628" s="149"/>
      <c r="L628" s="149"/>
      <c r="M628" s="149"/>
      <c r="N628" s="149"/>
      <c r="O628" s="149"/>
      <c r="P628" s="149"/>
      <c r="Q628" s="149"/>
      <c r="R628" s="149"/>
      <c r="S628" s="149"/>
      <c r="T628" s="149"/>
      <c r="U628" s="149"/>
      <c r="V628" s="149"/>
      <c r="W628" s="149"/>
      <c r="X628" s="149"/>
      <c r="Y628" s="149"/>
      <c r="Z628" s="149"/>
      <c r="AA628" s="149"/>
      <c r="AB628" s="149"/>
      <c r="AC628" s="149"/>
      <c r="AD628" s="149"/>
      <c r="AE628" s="149"/>
      <c r="AF628" s="149"/>
      <c r="AG628" s="149"/>
      <c r="AH628" s="149"/>
      <c r="AI628" s="149"/>
    </row>
    <row r="629" spans="1:35" s="166" customFormat="1" ht="36">
      <c r="A629" s="146" t="s">
        <v>49</v>
      </c>
      <c r="B629" s="147">
        <v>12</v>
      </c>
      <c r="C629" s="253" t="s">
        <v>21</v>
      </c>
      <c r="D629" s="147">
        <v>3111</v>
      </c>
      <c r="E629" s="226" t="s">
        <v>50</v>
      </c>
      <c r="F629" s="148" t="s">
        <v>690</v>
      </c>
      <c r="G629" s="883"/>
      <c r="H629" s="879"/>
      <c r="I629" s="880"/>
      <c r="J629" s="165"/>
      <c r="K629" s="165"/>
      <c r="L629" s="165"/>
      <c r="M629" s="165"/>
      <c r="N629" s="165"/>
      <c r="O629" s="165"/>
      <c r="P629" s="165"/>
      <c r="Q629" s="165"/>
      <c r="R629" s="165"/>
      <c r="S629" s="165"/>
      <c r="T629" s="165"/>
      <c r="U629" s="165"/>
      <c r="V629" s="165"/>
      <c r="W629" s="165"/>
      <c r="X629" s="165"/>
      <c r="Y629" s="165"/>
      <c r="Z629" s="165"/>
      <c r="AA629" s="165"/>
      <c r="AB629" s="165"/>
      <c r="AC629" s="165"/>
      <c r="AD629" s="165"/>
      <c r="AE629" s="165"/>
      <c r="AF629" s="165"/>
      <c r="AG629" s="165"/>
      <c r="AH629" s="165"/>
      <c r="AI629" s="165"/>
    </row>
    <row r="630" spans="1:35" s="166" customFormat="1" ht="36">
      <c r="A630" s="146" t="s">
        <v>49</v>
      </c>
      <c r="B630" s="147">
        <v>12</v>
      </c>
      <c r="C630" s="253" t="s">
        <v>21</v>
      </c>
      <c r="D630" s="147">
        <v>3112</v>
      </c>
      <c r="E630" s="226" t="s">
        <v>96</v>
      </c>
      <c r="F630" s="148" t="s">
        <v>690</v>
      </c>
      <c r="G630" s="883"/>
      <c r="H630" s="879"/>
      <c r="I630" s="880"/>
      <c r="J630" s="165"/>
      <c r="K630" s="165"/>
      <c r="L630" s="165"/>
      <c r="M630" s="165"/>
      <c r="N630" s="165"/>
      <c r="O630" s="165"/>
      <c r="P630" s="165"/>
      <c r="Q630" s="165"/>
      <c r="R630" s="165"/>
      <c r="S630" s="165"/>
      <c r="T630" s="165"/>
      <c r="U630" s="165"/>
      <c r="V630" s="165"/>
      <c r="W630" s="165"/>
      <c r="X630" s="165"/>
      <c r="Y630" s="165"/>
      <c r="Z630" s="165"/>
      <c r="AA630" s="165"/>
      <c r="AB630" s="165"/>
      <c r="AC630" s="165"/>
      <c r="AD630" s="165"/>
      <c r="AE630" s="165"/>
      <c r="AF630" s="165"/>
      <c r="AG630" s="165"/>
      <c r="AH630" s="165"/>
      <c r="AI630" s="165"/>
    </row>
    <row r="631" spans="1:35" s="166" customFormat="1" ht="36">
      <c r="A631" s="146" t="s">
        <v>49</v>
      </c>
      <c r="B631" s="147">
        <v>12</v>
      </c>
      <c r="C631" s="253" t="s">
        <v>21</v>
      </c>
      <c r="D631" s="147">
        <v>3113</v>
      </c>
      <c r="E631" s="226" t="s">
        <v>751</v>
      </c>
      <c r="F631" s="148" t="s">
        <v>690</v>
      </c>
      <c r="G631" s="883"/>
      <c r="H631" s="879"/>
      <c r="I631" s="880"/>
      <c r="J631" s="165"/>
      <c r="K631" s="165"/>
      <c r="L631" s="165"/>
      <c r="M631" s="165"/>
      <c r="N631" s="165"/>
      <c r="O631" s="165"/>
      <c r="P631" s="165"/>
      <c r="Q631" s="165"/>
      <c r="R631" s="165"/>
      <c r="S631" s="165"/>
      <c r="T631" s="165"/>
      <c r="U631" s="165"/>
      <c r="V631" s="165"/>
      <c r="W631" s="165"/>
      <c r="X631" s="165"/>
      <c r="Y631" s="165"/>
      <c r="Z631" s="165"/>
      <c r="AA631" s="165"/>
      <c r="AB631" s="165"/>
      <c r="AC631" s="165"/>
      <c r="AD631" s="165"/>
      <c r="AE631" s="165"/>
      <c r="AF631" s="165"/>
      <c r="AG631" s="165"/>
      <c r="AH631" s="165"/>
      <c r="AI631" s="165"/>
    </row>
    <row r="632" spans="1:35" s="166" customFormat="1" ht="36">
      <c r="A632" s="146" t="s">
        <v>49</v>
      </c>
      <c r="B632" s="147">
        <v>12</v>
      </c>
      <c r="C632" s="253" t="s">
        <v>21</v>
      </c>
      <c r="D632" s="147">
        <v>3114</v>
      </c>
      <c r="E632" s="226" t="s">
        <v>750</v>
      </c>
      <c r="F632" s="148" t="s">
        <v>690</v>
      </c>
      <c r="G632" s="883"/>
      <c r="H632" s="879"/>
      <c r="I632" s="880"/>
      <c r="J632" s="165"/>
      <c r="K632" s="165"/>
      <c r="L632" s="165"/>
      <c r="M632" s="165"/>
      <c r="N632" s="165"/>
      <c r="O632" s="165"/>
      <c r="P632" s="165"/>
      <c r="Q632" s="165"/>
      <c r="R632" s="165"/>
      <c r="S632" s="165"/>
      <c r="T632" s="165"/>
      <c r="U632" s="165"/>
      <c r="V632" s="165"/>
      <c r="W632" s="165"/>
      <c r="X632" s="165"/>
      <c r="Y632" s="165"/>
      <c r="Z632" s="165"/>
      <c r="AA632" s="165"/>
      <c r="AB632" s="165"/>
      <c r="AC632" s="165"/>
      <c r="AD632" s="165"/>
      <c r="AE632" s="165"/>
      <c r="AF632" s="165"/>
      <c r="AG632" s="165"/>
      <c r="AH632" s="165"/>
      <c r="AI632" s="165"/>
    </row>
    <row r="633" spans="1:35" s="166" customFormat="1" ht="36">
      <c r="A633" s="146" t="s">
        <v>49</v>
      </c>
      <c r="B633" s="147">
        <v>12</v>
      </c>
      <c r="C633" s="253" t="s">
        <v>21</v>
      </c>
      <c r="D633" s="151">
        <v>3121</v>
      </c>
      <c r="E633" s="227" t="s">
        <v>51</v>
      </c>
      <c r="F633" s="148" t="s">
        <v>690</v>
      </c>
      <c r="G633" s="883"/>
      <c r="H633" s="879"/>
      <c r="I633" s="880"/>
      <c r="J633" s="165"/>
      <c r="K633" s="165"/>
      <c r="L633" s="165"/>
      <c r="M633" s="165"/>
      <c r="N633" s="165"/>
      <c r="O633" s="165"/>
      <c r="P633" s="165"/>
      <c r="Q633" s="165"/>
      <c r="R633" s="165"/>
      <c r="S633" s="165"/>
      <c r="T633" s="165"/>
      <c r="U633" s="165"/>
      <c r="V633" s="165"/>
      <c r="W633" s="165"/>
      <c r="X633" s="165"/>
      <c r="Y633" s="165"/>
      <c r="Z633" s="165"/>
      <c r="AA633" s="165"/>
      <c r="AB633" s="165"/>
      <c r="AC633" s="165"/>
      <c r="AD633" s="165"/>
      <c r="AE633" s="165"/>
      <c r="AF633" s="165"/>
      <c r="AG633" s="165"/>
      <c r="AH633" s="165"/>
      <c r="AI633" s="165"/>
    </row>
    <row r="634" spans="1:35" s="166" customFormat="1" ht="36">
      <c r="A634" s="146" t="s">
        <v>49</v>
      </c>
      <c r="B634" s="147">
        <v>12</v>
      </c>
      <c r="C634" s="253" t="s">
        <v>21</v>
      </c>
      <c r="D634" s="151">
        <v>3131</v>
      </c>
      <c r="E634" s="227" t="s">
        <v>752</v>
      </c>
      <c r="F634" s="148" t="s">
        <v>690</v>
      </c>
      <c r="G634" s="883"/>
      <c r="H634" s="879"/>
      <c r="I634" s="880"/>
      <c r="J634" s="165"/>
      <c r="K634" s="165"/>
      <c r="L634" s="165"/>
      <c r="M634" s="165"/>
      <c r="N634" s="165"/>
      <c r="O634" s="165"/>
      <c r="P634" s="165"/>
      <c r="Q634" s="165"/>
      <c r="R634" s="165"/>
      <c r="S634" s="165"/>
      <c r="T634" s="165"/>
      <c r="U634" s="165"/>
      <c r="V634" s="165"/>
      <c r="W634" s="165"/>
      <c r="X634" s="165"/>
      <c r="Y634" s="165"/>
      <c r="Z634" s="165"/>
      <c r="AA634" s="165"/>
      <c r="AB634" s="165"/>
      <c r="AC634" s="165"/>
      <c r="AD634" s="165"/>
      <c r="AE634" s="165"/>
      <c r="AF634" s="165"/>
      <c r="AG634" s="165"/>
      <c r="AH634" s="165"/>
      <c r="AI634" s="165"/>
    </row>
    <row r="635" spans="1:35" s="166" customFormat="1" ht="48">
      <c r="A635" s="146" t="s">
        <v>49</v>
      </c>
      <c r="B635" s="147">
        <v>12</v>
      </c>
      <c r="C635" s="253" t="s">
        <v>21</v>
      </c>
      <c r="D635" s="151">
        <v>3132</v>
      </c>
      <c r="E635" s="227" t="s">
        <v>52</v>
      </c>
      <c r="F635" s="148" t="s">
        <v>690</v>
      </c>
      <c r="G635" s="883"/>
      <c r="H635" s="879"/>
      <c r="I635" s="880"/>
      <c r="J635" s="165"/>
      <c r="K635" s="165"/>
      <c r="L635" s="165"/>
      <c r="M635" s="165"/>
      <c r="N635" s="165"/>
      <c r="O635" s="165"/>
      <c r="P635" s="165"/>
      <c r="Q635" s="165"/>
      <c r="R635" s="165"/>
      <c r="S635" s="165"/>
      <c r="T635" s="165"/>
      <c r="U635" s="165"/>
      <c r="V635" s="165"/>
      <c r="W635" s="165"/>
      <c r="X635" s="165"/>
      <c r="Y635" s="165"/>
      <c r="Z635" s="165"/>
      <c r="AA635" s="165"/>
      <c r="AB635" s="165"/>
      <c r="AC635" s="165"/>
      <c r="AD635" s="165"/>
      <c r="AE635" s="165"/>
      <c r="AF635" s="165"/>
      <c r="AG635" s="165"/>
      <c r="AH635" s="165"/>
      <c r="AI635" s="165"/>
    </row>
    <row r="636" spans="1:35" s="166" customFormat="1" ht="72">
      <c r="A636" s="146" t="s">
        <v>49</v>
      </c>
      <c r="B636" s="147">
        <v>12</v>
      </c>
      <c r="C636" s="253" t="s">
        <v>21</v>
      </c>
      <c r="D636" s="151">
        <v>3133</v>
      </c>
      <c r="E636" s="227" t="s">
        <v>753</v>
      </c>
      <c r="F636" s="148" t="s">
        <v>690</v>
      </c>
      <c r="G636" s="883"/>
      <c r="H636" s="879"/>
      <c r="I636" s="880"/>
      <c r="J636" s="165"/>
      <c r="K636" s="165"/>
      <c r="L636" s="165"/>
      <c r="M636" s="165"/>
      <c r="N636" s="165"/>
      <c r="O636" s="165"/>
      <c r="P636" s="165"/>
      <c r="Q636" s="165"/>
      <c r="R636" s="165"/>
      <c r="S636" s="165"/>
      <c r="T636" s="165"/>
      <c r="U636" s="165"/>
      <c r="V636" s="165"/>
      <c r="W636" s="165"/>
      <c r="X636" s="165"/>
      <c r="Y636" s="165"/>
      <c r="Z636" s="165"/>
      <c r="AA636" s="165"/>
      <c r="AB636" s="165"/>
      <c r="AC636" s="165"/>
      <c r="AD636" s="165"/>
      <c r="AE636" s="165"/>
      <c r="AF636" s="165"/>
      <c r="AG636" s="165"/>
      <c r="AH636" s="165"/>
      <c r="AI636" s="165"/>
    </row>
    <row r="637" spans="1:35" s="166" customFormat="1" ht="36">
      <c r="A637" s="146" t="s">
        <v>49</v>
      </c>
      <c r="B637" s="147">
        <v>12</v>
      </c>
      <c r="C637" s="253" t="s">
        <v>21</v>
      </c>
      <c r="D637" s="151">
        <v>3211</v>
      </c>
      <c r="E637" s="227" t="s">
        <v>60</v>
      </c>
      <c r="F637" s="148" t="s">
        <v>690</v>
      </c>
      <c r="G637" s="883"/>
      <c r="H637" s="879"/>
      <c r="I637" s="880"/>
      <c r="J637" s="165"/>
      <c r="K637" s="165"/>
      <c r="L637" s="165"/>
      <c r="M637" s="165"/>
      <c r="N637" s="165"/>
      <c r="O637" s="165"/>
      <c r="P637" s="165"/>
      <c r="Q637" s="165"/>
      <c r="R637" s="165"/>
      <c r="S637" s="165"/>
      <c r="T637" s="165"/>
      <c r="U637" s="165"/>
      <c r="V637" s="165"/>
      <c r="W637" s="165"/>
      <c r="X637" s="165"/>
      <c r="Y637" s="165"/>
      <c r="Z637" s="165"/>
      <c r="AA637" s="165"/>
      <c r="AB637" s="165"/>
      <c r="AC637" s="165"/>
      <c r="AD637" s="165"/>
      <c r="AE637" s="165"/>
      <c r="AF637" s="165"/>
      <c r="AG637" s="165"/>
      <c r="AH637" s="165"/>
      <c r="AI637" s="165"/>
    </row>
    <row r="638" spans="1:35" s="166" customFormat="1" ht="60">
      <c r="A638" s="146" t="s">
        <v>49</v>
      </c>
      <c r="B638" s="147">
        <v>12</v>
      </c>
      <c r="C638" s="253" t="s">
        <v>21</v>
      </c>
      <c r="D638" s="151">
        <v>3212</v>
      </c>
      <c r="E638" s="227" t="s">
        <v>754</v>
      </c>
      <c r="F638" s="148" t="s">
        <v>690</v>
      </c>
      <c r="G638" s="883"/>
      <c r="H638" s="879"/>
      <c r="I638" s="880"/>
      <c r="J638" s="165"/>
      <c r="K638" s="165"/>
      <c r="L638" s="165"/>
      <c r="M638" s="165"/>
      <c r="N638" s="165"/>
      <c r="O638" s="165"/>
      <c r="P638" s="165"/>
      <c r="Q638" s="165"/>
      <c r="R638" s="165"/>
      <c r="S638" s="165"/>
      <c r="T638" s="165"/>
      <c r="U638" s="165"/>
      <c r="V638" s="165"/>
      <c r="W638" s="165"/>
      <c r="X638" s="165"/>
      <c r="Y638" s="165"/>
      <c r="Z638" s="165"/>
      <c r="AA638" s="165"/>
      <c r="AB638" s="165"/>
      <c r="AC638" s="165"/>
      <c r="AD638" s="165"/>
      <c r="AE638" s="165"/>
      <c r="AF638" s="165"/>
      <c r="AG638" s="165"/>
      <c r="AH638" s="165"/>
      <c r="AI638" s="165"/>
    </row>
    <row r="639" spans="1:35" s="166" customFormat="1" ht="36">
      <c r="A639" s="146" t="s">
        <v>49</v>
      </c>
      <c r="B639" s="147">
        <v>12</v>
      </c>
      <c r="C639" s="253" t="s">
        <v>21</v>
      </c>
      <c r="D639" s="151">
        <v>3213</v>
      </c>
      <c r="E639" s="227" t="s">
        <v>64</v>
      </c>
      <c r="F639" s="148" t="s">
        <v>690</v>
      </c>
      <c r="G639" s="883"/>
      <c r="H639" s="879"/>
      <c r="I639" s="880"/>
      <c r="J639" s="165"/>
      <c r="K639" s="165"/>
      <c r="L639" s="165"/>
      <c r="M639" s="165"/>
      <c r="N639" s="165"/>
      <c r="O639" s="165"/>
      <c r="P639" s="165"/>
      <c r="Q639" s="165"/>
      <c r="R639" s="165"/>
      <c r="S639" s="165"/>
      <c r="T639" s="165"/>
      <c r="U639" s="165"/>
      <c r="V639" s="165"/>
      <c r="W639" s="165"/>
      <c r="X639" s="165"/>
      <c r="Y639" s="165"/>
      <c r="Z639" s="165"/>
      <c r="AA639" s="165"/>
      <c r="AB639" s="165"/>
      <c r="AC639" s="165"/>
      <c r="AD639" s="165"/>
      <c r="AE639" s="165"/>
      <c r="AF639" s="165"/>
      <c r="AG639" s="165"/>
      <c r="AH639" s="165"/>
      <c r="AI639" s="165"/>
    </row>
    <row r="640" spans="1:35" s="166" customFormat="1" ht="48">
      <c r="A640" s="146" t="s">
        <v>49</v>
      </c>
      <c r="B640" s="147">
        <v>12</v>
      </c>
      <c r="C640" s="253" t="s">
        <v>21</v>
      </c>
      <c r="D640" s="151">
        <v>3214</v>
      </c>
      <c r="E640" s="227" t="s">
        <v>75</v>
      </c>
      <c r="F640" s="148" t="s">
        <v>690</v>
      </c>
      <c r="G640" s="883"/>
      <c r="H640" s="879"/>
      <c r="I640" s="880"/>
      <c r="J640" s="165"/>
      <c r="K640" s="165"/>
      <c r="L640" s="165"/>
      <c r="M640" s="165"/>
      <c r="N640" s="165"/>
      <c r="O640" s="165"/>
      <c r="P640" s="165"/>
      <c r="Q640" s="165"/>
      <c r="R640" s="165"/>
      <c r="S640" s="165"/>
      <c r="T640" s="165"/>
      <c r="U640" s="165"/>
      <c r="V640" s="165"/>
      <c r="W640" s="165"/>
      <c r="X640" s="165"/>
      <c r="Y640" s="165"/>
      <c r="Z640" s="165"/>
      <c r="AA640" s="165"/>
      <c r="AB640" s="165"/>
      <c r="AC640" s="165"/>
      <c r="AD640" s="165"/>
      <c r="AE640" s="165"/>
      <c r="AF640" s="165"/>
      <c r="AG640" s="165"/>
      <c r="AH640" s="165"/>
      <c r="AI640" s="165"/>
    </row>
    <row r="641" spans="1:35" s="166" customFormat="1" ht="60">
      <c r="A641" s="146" t="s">
        <v>49</v>
      </c>
      <c r="B641" s="147">
        <v>12</v>
      </c>
      <c r="C641" s="253" t="s">
        <v>21</v>
      </c>
      <c r="D641" s="151">
        <v>3221</v>
      </c>
      <c r="E641" s="227" t="s">
        <v>65</v>
      </c>
      <c r="F641" s="148" t="s">
        <v>690</v>
      </c>
      <c r="G641" s="883"/>
      <c r="H641" s="879"/>
      <c r="I641" s="880"/>
      <c r="J641" s="165"/>
      <c r="K641" s="165"/>
      <c r="L641" s="165"/>
      <c r="M641" s="165"/>
      <c r="N641" s="165"/>
      <c r="O641" s="165"/>
      <c r="P641" s="165"/>
      <c r="Q641" s="165"/>
      <c r="R641" s="165"/>
      <c r="S641" s="165"/>
      <c r="T641" s="165"/>
      <c r="U641" s="165"/>
      <c r="V641" s="165"/>
      <c r="W641" s="165"/>
      <c r="X641" s="165"/>
      <c r="Y641" s="165"/>
      <c r="Z641" s="165"/>
      <c r="AA641" s="165"/>
      <c r="AB641" s="165"/>
      <c r="AC641" s="165"/>
      <c r="AD641" s="165"/>
      <c r="AE641" s="165"/>
      <c r="AF641" s="165"/>
      <c r="AG641" s="165"/>
      <c r="AH641" s="165"/>
      <c r="AI641" s="165"/>
    </row>
    <row r="642" spans="1:35" s="166" customFormat="1" ht="36">
      <c r="A642" s="146" t="s">
        <v>49</v>
      </c>
      <c r="B642" s="147">
        <v>12</v>
      </c>
      <c r="C642" s="253" t="s">
        <v>21</v>
      </c>
      <c r="D642" s="151">
        <v>3222</v>
      </c>
      <c r="E642" s="227" t="s">
        <v>76</v>
      </c>
      <c r="F642" s="148" t="s">
        <v>690</v>
      </c>
      <c r="G642" s="883"/>
      <c r="H642" s="879"/>
      <c r="I642" s="880"/>
      <c r="J642" s="165"/>
      <c r="K642" s="165"/>
      <c r="L642" s="165"/>
      <c r="M642" s="165"/>
      <c r="N642" s="165"/>
      <c r="O642" s="165"/>
      <c r="P642" s="165"/>
      <c r="Q642" s="165"/>
      <c r="R642" s="165"/>
      <c r="S642" s="165"/>
      <c r="T642" s="165"/>
      <c r="U642" s="165"/>
      <c r="V642" s="165"/>
      <c r="W642" s="165"/>
      <c r="X642" s="165"/>
      <c r="Y642" s="165"/>
      <c r="Z642" s="165"/>
      <c r="AA642" s="165"/>
      <c r="AB642" s="165"/>
      <c r="AC642" s="165"/>
      <c r="AD642" s="165"/>
      <c r="AE642" s="165"/>
      <c r="AF642" s="165"/>
      <c r="AG642" s="165"/>
      <c r="AH642" s="165"/>
      <c r="AI642" s="165"/>
    </row>
    <row r="643" spans="1:35" s="166" customFormat="1" ht="36">
      <c r="A643" s="146" t="s">
        <v>49</v>
      </c>
      <c r="B643" s="147">
        <v>12</v>
      </c>
      <c r="C643" s="253" t="s">
        <v>21</v>
      </c>
      <c r="D643" s="151">
        <v>3223</v>
      </c>
      <c r="E643" s="227" t="s">
        <v>77</v>
      </c>
      <c r="F643" s="148" t="s">
        <v>690</v>
      </c>
      <c r="G643" s="883"/>
      <c r="H643" s="879"/>
      <c r="I643" s="880"/>
      <c r="J643" s="165"/>
      <c r="K643" s="165"/>
      <c r="L643" s="165"/>
      <c r="M643" s="165"/>
      <c r="N643" s="165"/>
      <c r="O643" s="165"/>
      <c r="P643" s="165"/>
      <c r="Q643" s="165"/>
      <c r="R643" s="165"/>
      <c r="S643" s="165"/>
      <c r="T643" s="165"/>
      <c r="U643" s="165"/>
      <c r="V643" s="165"/>
      <c r="W643" s="165"/>
      <c r="X643" s="165"/>
      <c r="Y643" s="165"/>
      <c r="Z643" s="165"/>
      <c r="AA643" s="165"/>
      <c r="AB643" s="165"/>
      <c r="AC643" s="165"/>
      <c r="AD643" s="165"/>
      <c r="AE643" s="165"/>
      <c r="AF643" s="165"/>
      <c r="AG643" s="165"/>
      <c r="AH643" s="165"/>
      <c r="AI643" s="165"/>
    </row>
    <row r="644" spans="1:35" s="166" customFormat="1" ht="60">
      <c r="A644" s="146" t="s">
        <v>49</v>
      </c>
      <c r="B644" s="147">
        <v>12</v>
      </c>
      <c r="C644" s="253" t="s">
        <v>21</v>
      </c>
      <c r="D644" s="151">
        <v>3224</v>
      </c>
      <c r="E644" s="227" t="s">
        <v>61</v>
      </c>
      <c r="F644" s="148" t="s">
        <v>690</v>
      </c>
      <c r="G644" s="883"/>
      <c r="H644" s="879"/>
      <c r="I644" s="880"/>
      <c r="J644" s="165"/>
      <c r="K644" s="165"/>
      <c r="L644" s="165"/>
      <c r="M644" s="165"/>
      <c r="N644" s="165"/>
      <c r="O644" s="165"/>
      <c r="P644" s="165"/>
      <c r="Q644" s="165"/>
      <c r="R644" s="165"/>
      <c r="S644" s="165"/>
      <c r="T644" s="165"/>
      <c r="U644" s="165"/>
      <c r="V644" s="165"/>
      <c r="W644" s="165"/>
      <c r="X644" s="165"/>
      <c r="Y644" s="165"/>
      <c r="Z644" s="165"/>
      <c r="AA644" s="165"/>
      <c r="AB644" s="165"/>
      <c r="AC644" s="165"/>
      <c r="AD644" s="165"/>
      <c r="AE644" s="165"/>
      <c r="AF644" s="165"/>
      <c r="AG644" s="165"/>
      <c r="AH644" s="165"/>
      <c r="AI644" s="165"/>
    </row>
    <row r="645" spans="1:35" s="166" customFormat="1" ht="36">
      <c r="A645" s="146" t="s">
        <v>49</v>
      </c>
      <c r="B645" s="147">
        <v>12</v>
      </c>
      <c r="C645" s="253" t="s">
        <v>21</v>
      </c>
      <c r="D645" s="151">
        <v>3225</v>
      </c>
      <c r="E645" s="227" t="s">
        <v>78</v>
      </c>
      <c r="F645" s="148" t="s">
        <v>690</v>
      </c>
      <c r="G645" s="883"/>
      <c r="H645" s="879"/>
      <c r="I645" s="880"/>
      <c r="J645" s="165"/>
      <c r="K645" s="165"/>
      <c r="L645" s="165"/>
      <c r="M645" s="165"/>
      <c r="N645" s="165"/>
      <c r="O645" s="165"/>
      <c r="P645" s="165"/>
      <c r="Q645" s="165"/>
      <c r="R645" s="165"/>
      <c r="S645" s="165"/>
      <c r="T645" s="165"/>
      <c r="U645" s="165"/>
      <c r="V645" s="165"/>
      <c r="W645" s="165"/>
      <c r="X645" s="165"/>
      <c r="Y645" s="165"/>
      <c r="Z645" s="165"/>
      <c r="AA645" s="165"/>
      <c r="AB645" s="165"/>
      <c r="AC645" s="165"/>
      <c r="AD645" s="165"/>
      <c r="AE645" s="165"/>
      <c r="AF645" s="165"/>
      <c r="AG645" s="165"/>
      <c r="AH645" s="165"/>
      <c r="AI645" s="165"/>
    </row>
    <row r="646" spans="1:35" s="166" customFormat="1" ht="60">
      <c r="A646" s="146" t="s">
        <v>49</v>
      </c>
      <c r="B646" s="147">
        <v>12</v>
      </c>
      <c r="C646" s="253" t="s">
        <v>21</v>
      </c>
      <c r="D646" s="151">
        <v>3227</v>
      </c>
      <c r="E646" s="227" t="s">
        <v>89</v>
      </c>
      <c r="F646" s="148" t="s">
        <v>690</v>
      </c>
      <c r="G646" s="883"/>
      <c r="H646" s="879"/>
      <c r="I646" s="880"/>
      <c r="J646" s="165"/>
      <c r="K646" s="165"/>
      <c r="L646" s="165"/>
      <c r="M646" s="165"/>
      <c r="N646" s="165"/>
      <c r="O646" s="165"/>
      <c r="P646" s="165"/>
      <c r="Q646" s="165"/>
      <c r="R646" s="165"/>
      <c r="S646" s="165"/>
      <c r="T646" s="165"/>
      <c r="U646" s="165"/>
      <c r="V646" s="165"/>
      <c r="W646" s="165"/>
      <c r="X646" s="165"/>
      <c r="Y646" s="165"/>
      <c r="Z646" s="165"/>
      <c r="AA646" s="165"/>
      <c r="AB646" s="165"/>
      <c r="AC646" s="165"/>
      <c r="AD646" s="165"/>
      <c r="AE646" s="165"/>
      <c r="AF646" s="165"/>
      <c r="AG646" s="165"/>
      <c r="AH646" s="165"/>
      <c r="AI646" s="165"/>
    </row>
    <row r="647" spans="1:35" s="166" customFormat="1" ht="48">
      <c r="A647" s="146" t="s">
        <v>49</v>
      </c>
      <c r="B647" s="147">
        <v>12</v>
      </c>
      <c r="C647" s="253" t="s">
        <v>21</v>
      </c>
      <c r="D647" s="151">
        <v>3231</v>
      </c>
      <c r="E647" s="227" t="s">
        <v>79</v>
      </c>
      <c r="F647" s="148" t="s">
        <v>690</v>
      </c>
      <c r="G647" s="883"/>
      <c r="H647" s="879"/>
      <c r="I647" s="880"/>
      <c r="J647" s="165"/>
      <c r="K647" s="165"/>
      <c r="L647" s="165"/>
      <c r="M647" s="165"/>
      <c r="N647" s="165"/>
      <c r="O647" s="165"/>
      <c r="P647" s="165"/>
      <c r="Q647" s="165"/>
      <c r="R647" s="165"/>
      <c r="S647" s="165"/>
      <c r="T647" s="165"/>
      <c r="U647" s="165"/>
      <c r="V647" s="165"/>
      <c r="W647" s="165"/>
      <c r="X647" s="165"/>
      <c r="Y647" s="165"/>
      <c r="Z647" s="165"/>
      <c r="AA647" s="165"/>
      <c r="AB647" s="165"/>
      <c r="AC647" s="165"/>
      <c r="AD647" s="165"/>
      <c r="AE647" s="165"/>
      <c r="AF647" s="165"/>
      <c r="AG647" s="165"/>
      <c r="AH647" s="165"/>
      <c r="AI647" s="165"/>
    </row>
    <row r="648" spans="1:35" s="166" customFormat="1" ht="48">
      <c r="A648" s="146" t="s">
        <v>49</v>
      </c>
      <c r="B648" s="147">
        <v>12</v>
      </c>
      <c r="C648" s="253" t="s">
        <v>21</v>
      </c>
      <c r="D648" s="151">
        <v>3232</v>
      </c>
      <c r="E648" s="227" t="s">
        <v>80</v>
      </c>
      <c r="F648" s="148" t="s">
        <v>690</v>
      </c>
      <c r="G648" s="883"/>
      <c r="H648" s="879"/>
      <c r="I648" s="880"/>
      <c r="J648" s="165"/>
      <c r="K648" s="165"/>
      <c r="L648" s="165"/>
      <c r="M648" s="165"/>
      <c r="N648" s="165"/>
      <c r="O648" s="165"/>
      <c r="P648" s="165"/>
      <c r="Q648" s="165"/>
      <c r="R648" s="165"/>
      <c r="S648" s="165"/>
      <c r="T648" s="165"/>
      <c r="U648" s="165"/>
      <c r="V648" s="165"/>
      <c r="W648" s="165"/>
      <c r="X648" s="165"/>
      <c r="Y648" s="165"/>
      <c r="Z648" s="165"/>
      <c r="AA648" s="165"/>
      <c r="AB648" s="165"/>
      <c r="AC648" s="165"/>
      <c r="AD648" s="165"/>
      <c r="AE648" s="165"/>
      <c r="AF648" s="165"/>
      <c r="AG648" s="165"/>
      <c r="AH648" s="165"/>
      <c r="AI648" s="165"/>
    </row>
    <row r="649" spans="1:35" s="166" customFormat="1" ht="36">
      <c r="A649" s="146" t="s">
        <v>49</v>
      </c>
      <c r="B649" s="147">
        <v>12</v>
      </c>
      <c r="C649" s="253" t="s">
        <v>21</v>
      </c>
      <c r="D649" s="151">
        <v>3233</v>
      </c>
      <c r="E649" s="227" t="s">
        <v>81</v>
      </c>
      <c r="F649" s="148" t="s">
        <v>690</v>
      </c>
      <c r="G649" s="883"/>
      <c r="H649" s="879"/>
      <c r="I649" s="880"/>
      <c r="J649" s="165"/>
      <c r="K649" s="165"/>
      <c r="L649" s="165"/>
      <c r="M649" s="165"/>
      <c r="N649" s="165"/>
      <c r="O649" s="165"/>
      <c r="P649" s="165"/>
      <c r="Q649" s="165"/>
      <c r="R649" s="165"/>
      <c r="S649" s="165"/>
      <c r="T649" s="165"/>
      <c r="U649" s="165"/>
      <c r="V649" s="165"/>
      <c r="W649" s="165"/>
      <c r="X649" s="165"/>
      <c r="Y649" s="165"/>
      <c r="Z649" s="165"/>
      <c r="AA649" s="165"/>
      <c r="AB649" s="165"/>
      <c r="AC649" s="165"/>
      <c r="AD649" s="165"/>
      <c r="AE649" s="165"/>
      <c r="AF649" s="165"/>
      <c r="AG649" s="165"/>
      <c r="AH649" s="165"/>
      <c r="AI649" s="165"/>
    </row>
    <row r="650" spans="1:35" s="166" customFormat="1" ht="36">
      <c r="A650" s="146" t="s">
        <v>49</v>
      </c>
      <c r="B650" s="147">
        <v>12</v>
      </c>
      <c r="C650" s="253" t="s">
        <v>21</v>
      </c>
      <c r="D650" s="151">
        <v>3234</v>
      </c>
      <c r="E650" s="227" t="s">
        <v>87</v>
      </c>
      <c r="F650" s="148" t="s">
        <v>690</v>
      </c>
      <c r="G650" s="883"/>
      <c r="H650" s="879"/>
      <c r="I650" s="880"/>
      <c r="J650" s="165"/>
      <c r="K650" s="165"/>
      <c r="L650" s="165"/>
      <c r="M650" s="165"/>
      <c r="N650" s="165"/>
      <c r="O650" s="165"/>
      <c r="P650" s="165"/>
      <c r="Q650" s="165"/>
      <c r="R650" s="165"/>
      <c r="S650" s="165"/>
      <c r="T650" s="165"/>
      <c r="U650" s="165"/>
      <c r="V650" s="165"/>
      <c r="W650" s="165"/>
      <c r="X650" s="165"/>
      <c r="Y650" s="165"/>
      <c r="Z650" s="165"/>
      <c r="AA650" s="165"/>
      <c r="AB650" s="165"/>
      <c r="AC650" s="165"/>
      <c r="AD650" s="165"/>
      <c r="AE650" s="165"/>
      <c r="AF650" s="165"/>
      <c r="AG650" s="165"/>
      <c r="AH650" s="165"/>
      <c r="AI650" s="165"/>
    </row>
    <row r="651" spans="1:35" s="166" customFormat="1" ht="36">
      <c r="A651" s="146" t="s">
        <v>49</v>
      </c>
      <c r="B651" s="147">
        <v>12</v>
      </c>
      <c r="C651" s="253" t="s">
        <v>21</v>
      </c>
      <c r="D651" s="151">
        <v>3235</v>
      </c>
      <c r="E651" s="227" t="s">
        <v>88</v>
      </c>
      <c r="F651" s="148" t="s">
        <v>690</v>
      </c>
      <c r="G651" s="883"/>
      <c r="H651" s="879"/>
      <c r="I651" s="880"/>
      <c r="J651" s="165"/>
      <c r="K651" s="165"/>
      <c r="L651" s="165"/>
      <c r="M651" s="165"/>
      <c r="N651" s="165"/>
      <c r="O651" s="165"/>
      <c r="P651" s="165"/>
      <c r="Q651" s="165"/>
      <c r="R651" s="165"/>
      <c r="S651" s="165"/>
      <c r="T651" s="165"/>
      <c r="U651" s="165"/>
      <c r="V651" s="165"/>
      <c r="W651" s="165"/>
      <c r="X651" s="165"/>
      <c r="Y651" s="165"/>
      <c r="Z651" s="165"/>
      <c r="AA651" s="165"/>
      <c r="AB651" s="165"/>
      <c r="AC651" s="165"/>
      <c r="AD651" s="165"/>
      <c r="AE651" s="165"/>
      <c r="AF651" s="165"/>
      <c r="AG651" s="165"/>
      <c r="AH651" s="165"/>
      <c r="AI651" s="165"/>
    </row>
    <row r="652" spans="1:35" s="166" customFormat="1" ht="48">
      <c r="A652" s="146" t="s">
        <v>49</v>
      </c>
      <c r="B652" s="147">
        <v>12</v>
      </c>
      <c r="C652" s="253" t="s">
        <v>21</v>
      </c>
      <c r="D652" s="151">
        <v>3236</v>
      </c>
      <c r="E652" s="227" t="s">
        <v>54</v>
      </c>
      <c r="F652" s="148" t="s">
        <v>690</v>
      </c>
      <c r="G652" s="883"/>
      <c r="H652" s="879"/>
      <c r="I652" s="880"/>
      <c r="J652" s="165"/>
      <c r="K652" s="165"/>
      <c r="L652" s="165"/>
      <c r="M652" s="165"/>
      <c r="N652" s="165"/>
      <c r="O652" s="165"/>
      <c r="P652" s="165"/>
      <c r="Q652" s="165"/>
      <c r="R652" s="165"/>
      <c r="S652" s="165"/>
      <c r="T652" s="165"/>
      <c r="U652" s="165"/>
      <c r="V652" s="165"/>
      <c r="W652" s="165"/>
      <c r="X652" s="165"/>
      <c r="Y652" s="165"/>
      <c r="Z652" s="165"/>
      <c r="AA652" s="165"/>
      <c r="AB652" s="165"/>
      <c r="AC652" s="165"/>
      <c r="AD652" s="165"/>
      <c r="AE652" s="165"/>
      <c r="AF652" s="165"/>
      <c r="AG652" s="165"/>
      <c r="AH652" s="165"/>
      <c r="AI652" s="165"/>
    </row>
    <row r="653" spans="1:35" s="166" customFormat="1" ht="36">
      <c r="A653" s="146" t="s">
        <v>49</v>
      </c>
      <c r="B653" s="147">
        <v>12</v>
      </c>
      <c r="C653" s="253" t="s">
        <v>21</v>
      </c>
      <c r="D653" s="151">
        <v>3237</v>
      </c>
      <c r="E653" s="227" t="s">
        <v>62</v>
      </c>
      <c r="F653" s="148" t="s">
        <v>690</v>
      </c>
      <c r="G653" s="883"/>
      <c r="H653" s="879"/>
      <c r="I653" s="880"/>
      <c r="J653" s="165"/>
      <c r="K653" s="165"/>
      <c r="L653" s="165"/>
      <c r="M653" s="165"/>
      <c r="N653" s="165"/>
      <c r="O653" s="165"/>
      <c r="P653" s="165"/>
      <c r="Q653" s="165"/>
      <c r="R653" s="165"/>
      <c r="S653" s="165"/>
      <c r="T653" s="165"/>
      <c r="U653" s="165"/>
      <c r="V653" s="165"/>
      <c r="W653" s="165"/>
      <c r="X653" s="165"/>
      <c r="Y653" s="165"/>
      <c r="Z653" s="165"/>
      <c r="AA653" s="165"/>
      <c r="AB653" s="165"/>
      <c r="AC653" s="165"/>
      <c r="AD653" s="165"/>
      <c r="AE653" s="165"/>
      <c r="AF653" s="165"/>
      <c r="AG653" s="165"/>
      <c r="AH653" s="165"/>
      <c r="AI653" s="165"/>
    </row>
    <row r="654" spans="1:35" s="166" customFormat="1" ht="36">
      <c r="A654" s="146" t="s">
        <v>49</v>
      </c>
      <c r="B654" s="147">
        <v>12</v>
      </c>
      <c r="C654" s="253" t="s">
        <v>21</v>
      </c>
      <c r="D654" s="151">
        <v>3238</v>
      </c>
      <c r="E654" s="227" t="s">
        <v>82</v>
      </c>
      <c r="F654" s="148" t="s">
        <v>690</v>
      </c>
      <c r="G654" s="883"/>
      <c r="H654" s="879"/>
      <c r="I654" s="880"/>
      <c r="J654" s="165"/>
      <c r="K654" s="165"/>
      <c r="L654" s="165"/>
      <c r="M654" s="165"/>
      <c r="N654" s="165"/>
      <c r="O654" s="165"/>
      <c r="P654" s="165"/>
      <c r="Q654" s="165"/>
      <c r="R654" s="165"/>
      <c r="S654" s="165"/>
      <c r="T654" s="165"/>
      <c r="U654" s="165"/>
      <c r="V654" s="165"/>
      <c r="W654" s="165"/>
      <c r="X654" s="165"/>
      <c r="Y654" s="165"/>
      <c r="Z654" s="165"/>
      <c r="AA654" s="165"/>
      <c r="AB654" s="165"/>
      <c r="AC654" s="165"/>
      <c r="AD654" s="165"/>
      <c r="AE654" s="165"/>
      <c r="AF654" s="165"/>
      <c r="AG654" s="165"/>
      <c r="AH654" s="165"/>
      <c r="AI654" s="165"/>
    </row>
    <row r="655" spans="1:35" s="166" customFormat="1" ht="36">
      <c r="A655" s="146" t="s">
        <v>49</v>
      </c>
      <c r="B655" s="147">
        <v>12</v>
      </c>
      <c r="C655" s="253" t="s">
        <v>21</v>
      </c>
      <c r="D655" s="151">
        <v>3239</v>
      </c>
      <c r="E655" s="227" t="s">
        <v>66</v>
      </c>
      <c r="F655" s="148" t="s">
        <v>690</v>
      </c>
      <c r="G655" s="883"/>
      <c r="H655" s="879"/>
      <c r="I655" s="880"/>
      <c r="J655" s="165"/>
      <c r="K655" s="165"/>
      <c r="L655" s="165"/>
      <c r="M655" s="165"/>
      <c r="N655" s="165"/>
      <c r="O655" s="165"/>
      <c r="P655" s="165"/>
      <c r="Q655" s="165"/>
      <c r="R655" s="165"/>
      <c r="S655" s="165"/>
      <c r="T655" s="165"/>
      <c r="U655" s="165"/>
      <c r="V655" s="165"/>
      <c r="W655" s="165"/>
      <c r="X655" s="165"/>
      <c r="Y655" s="165"/>
      <c r="Z655" s="165"/>
      <c r="AA655" s="165"/>
      <c r="AB655" s="165"/>
      <c r="AC655" s="165"/>
      <c r="AD655" s="165"/>
      <c r="AE655" s="165"/>
      <c r="AF655" s="165"/>
      <c r="AG655" s="165"/>
      <c r="AH655" s="165"/>
      <c r="AI655" s="165"/>
    </row>
    <row r="656" spans="1:35" s="166" customFormat="1" ht="60">
      <c r="A656" s="146" t="s">
        <v>49</v>
      </c>
      <c r="B656" s="147">
        <v>12</v>
      </c>
      <c r="C656" s="253" t="s">
        <v>21</v>
      </c>
      <c r="D656" s="151">
        <v>3241</v>
      </c>
      <c r="E656" s="227" t="s">
        <v>67</v>
      </c>
      <c r="F656" s="148" t="s">
        <v>690</v>
      </c>
      <c r="G656" s="883"/>
      <c r="H656" s="879"/>
      <c r="I656" s="880"/>
      <c r="J656" s="165"/>
      <c r="K656" s="165"/>
      <c r="L656" s="165"/>
      <c r="M656" s="165"/>
      <c r="N656" s="165"/>
      <c r="O656" s="165"/>
      <c r="P656" s="165"/>
      <c r="Q656" s="165"/>
      <c r="R656" s="165"/>
      <c r="S656" s="165"/>
      <c r="T656" s="165"/>
      <c r="U656" s="165"/>
      <c r="V656" s="165"/>
      <c r="W656" s="165"/>
      <c r="X656" s="165"/>
      <c r="Y656" s="165"/>
      <c r="Z656" s="165"/>
      <c r="AA656" s="165"/>
      <c r="AB656" s="165"/>
      <c r="AC656" s="165"/>
      <c r="AD656" s="165"/>
      <c r="AE656" s="165"/>
      <c r="AF656" s="165"/>
      <c r="AG656" s="165"/>
      <c r="AH656" s="165"/>
      <c r="AI656" s="165"/>
    </row>
    <row r="657" spans="1:35" s="166" customFormat="1" ht="60">
      <c r="A657" s="146" t="s">
        <v>49</v>
      </c>
      <c r="B657" s="147">
        <v>12</v>
      </c>
      <c r="C657" s="253" t="s">
        <v>21</v>
      </c>
      <c r="D657" s="151">
        <v>3291</v>
      </c>
      <c r="E657" s="227" t="s">
        <v>713</v>
      </c>
      <c r="F657" s="148" t="s">
        <v>690</v>
      </c>
      <c r="G657" s="883"/>
      <c r="H657" s="879"/>
      <c r="I657" s="880"/>
      <c r="J657" s="165"/>
      <c r="K657" s="165"/>
      <c r="L657" s="165"/>
      <c r="M657" s="165"/>
      <c r="N657" s="165"/>
      <c r="O657" s="165"/>
      <c r="P657" s="165"/>
      <c r="Q657" s="165"/>
      <c r="R657" s="165"/>
      <c r="S657" s="165"/>
      <c r="T657" s="165"/>
      <c r="U657" s="165"/>
      <c r="V657" s="165"/>
      <c r="W657" s="165"/>
      <c r="X657" s="165"/>
      <c r="Y657" s="165"/>
      <c r="Z657" s="165"/>
      <c r="AA657" s="165"/>
      <c r="AB657" s="165"/>
      <c r="AC657" s="165"/>
      <c r="AD657" s="165"/>
      <c r="AE657" s="165"/>
      <c r="AF657" s="165"/>
      <c r="AG657" s="165"/>
      <c r="AH657" s="165"/>
      <c r="AI657" s="165"/>
    </row>
    <row r="658" spans="1:35" s="166" customFormat="1" ht="36">
      <c r="A658" s="146" t="s">
        <v>49</v>
      </c>
      <c r="B658" s="147">
        <v>12</v>
      </c>
      <c r="C658" s="253" t="s">
        <v>21</v>
      </c>
      <c r="D658" s="151">
        <v>3292</v>
      </c>
      <c r="E658" s="227" t="s">
        <v>59</v>
      </c>
      <c r="F658" s="148" t="s">
        <v>690</v>
      </c>
      <c r="G658" s="883"/>
      <c r="H658" s="879"/>
      <c r="I658" s="880"/>
      <c r="J658" s="165"/>
      <c r="K658" s="165"/>
      <c r="L658" s="165"/>
      <c r="M658" s="165"/>
      <c r="N658" s="165"/>
      <c r="O658" s="165"/>
      <c r="P658" s="165"/>
      <c r="Q658" s="165"/>
      <c r="R658" s="165"/>
      <c r="S658" s="165"/>
      <c r="T658" s="165"/>
      <c r="U658" s="165"/>
      <c r="V658" s="165"/>
      <c r="W658" s="165"/>
      <c r="X658" s="165"/>
      <c r="Y658" s="165"/>
      <c r="Z658" s="165"/>
      <c r="AA658" s="165"/>
      <c r="AB658" s="165"/>
      <c r="AC658" s="165"/>
      <c r="AD658" s="165"/>
      <c r="AE658" s="165"/>
      <c r="AF658" s="165"/>
      <c r="AG658" s="165"/>
      <c r="AH658" s="165"/>
      <c r="AI658" s="165"/>
    </row>
    <row r="659" spans="1:35" s="166" customFormat="1" ht="36">
      <c r="A659" s="146" t="s">
        <v>49</v>
      </c>
      <c r="B659" s="147">
        <v>12</v>
      </c>
      <c r="C659" s="253" t="s">
        <v>21</v>
      </c>
      <c r="D659" s="151">
        <v>3293</v>
      </c>
      <c r="E659" s="227" t="s">
        <v>68</v>
      </c>
      <c r="F659" s="148" t="s">
        <v>690</v>
      </c>
      <c r="G659" s="883"/>
      <c r="H659" s="879"/>
      <c r="I659" s="880"/>
      <c r="J659" s="165"/>
      <c r="K659" s="165"/>
      <c r="L659" s="165"/>
      <c r="M659" s="165"/>
      <c r="N659" s="165"/>
      <c r="O659" s="165"/>
      <c r="P659" s="165"/>
      <c r="Q659" s="165"/>
      <c r="R659" s="165"/>
      <c r="S659" s="165"/>
      <c r="T659" s="165"/>
      <c r="U659" s="165"/>
      <c r="V659" s="165"/>
      <c r="W659" s="165"/>
      <c r="X659" s="165"/>
      <c r="Y659" s="165"/>
      <c r="Z659" s="165"/>
      <c r="AA659" s="165"/>
      <c r="AB659" s="165"/>
      <c r="AC659" s="165"/>
      <c r="AD659" s="165"/>
      <c r="AE659" s="165"/>
      <c r="AF659" s="165"/>
      <c r="AG659" s="165"/>
      <c r="AH659" s="165"/>
      <c r="AI659" s="165"/>
    </row>
    <row r="660" spans="1:35" s="166" customFormat="1" ht="36">
      <c r="A660" s="146" t="s">
        <v>49</v>
      </c>
      <c r="B660" s="147">
        <v>12</v>
      </c>
      <c r="C660" s="253" t="s">
        <v>21</v>
      </c>
      <c r="D660" s="151">
        <v>3294</v>
      </c>
      <c r="E660" s="227" t="s">
        <v>69</v>
      </c>
      <c r="F660" s="148" t="s">
        <v>690</v>
      </c>
      <c r="G660" s="883"/>
      <c r="H660" s="879"/>
      <c r="I660" s="880"/>
      <c r="J660" s="165"/>
      <c r="K660" s="165"/>
      <c r="L660" s="165"/>
      <c r="M660" s="165"/>
      <c r="N660" s="165"/>
      <c r="O660" s="165"/>
      <c r="P660" s="165"/>
      <c r="Q660" s="165"/>
      <c r="R660" s="165"/>
      <c r="S660" s="165"/>
      <c r="T660" s="165"/>
      <c r="U660" s="165"/>
      <c r="V660" s="165"/>
      <c r="W660" s="165"/>
      <c r="X660" s="165"/>
      <c r="Y660" s="165"/>
      <c r="Z660" s="165"/>
      <c r="AA660" s="165"/>
      <c r="AB660" s="165"/>
      <c r="AC660" s="165"/>
      <c r="AD660" s="165"/>
      <c r="AE660" s="165"/>
      <c r="AF660" s="165"/>
      <c r="AG660" s="165"/>
      <c r="AH660" s="165"/>
      <c r="AI660" s="165"/>
    </row>
    <row r="661" spans="1:35" s="166" customFormat="1" ht="36">
      <c r="A661" s="146" t="s">
        <v>49</v>
      </c>
      <c r="B661" s="147">
        <v>12</v>
      </c>
      <c r="C661" s="253" t="s">
        <v>21</v>
      </c>
      <c r="D661" s="151">
        <v>3295</v>
      </c>
      <c r="E661" s="227" t="s">
        <v>55</v>
      </c>
      <c r="F661" s="148" t="s">
        <v>690</v>
      </c>
      <c r="G661" s="883"/>
      <c r="H661" s="879"/>
      <c r="I661" s="880"/>
      <c r="J661" s="165"/>
      <c r="K661" s="165"/>
      <c r="L661" s="165"/>
      <c r="M661" s="165"/>
      <c r="N661" s="165"/>
      <c r="O661" s="165"/>
      <c r="P661" s="165"/>
      <c r="Q661" s="165"/>
      <c r="R661" s="165"/>
      <c r="S661" s="165"/>
      <c r="T661" s="165"/>
      <c r="U661" s="165"/>
      <c r="V661" s="165"/>
      <c r="W661" s="165"/>
      <c r="X661" s="165"/>
      <c r="Y661" s="165"/>
      <c r="Z661" s="165"/>
      <c r="AA661" s="165"/>
      <c r="AB661" s="165"/>
      <c r="AC661" s="165"/>
      <c r="AD661" s="165"/>
      <c r="AE661" s="165"/>
      <c r="AF661" s="165"/>
      <c r="AG661" s="165"/>
      <c r="AH661" s="165"/>
      <c r="AI661" s="165"/>
    </row>
    <row r="662" spans="1:35" s="166" customFormat="1" ht="36">
      <c r="A662" s="146" t="s">
        <v>49</v>
      </c>
      <c r="B662" s="147">
        <v>12</v>
      </c>
      <c r="C662" s="253" t="s">
        <v>21</v>
      </c>
      <c r="D662" s="151">
        <v>3296</v>
      </c>
      <c r="E662" s="227" t="s">
        <v>97</v>
      </c>
      <c r="F662" s="148" t="s">
        <v>690</v>
      </c>
      <c r="G662" s="883"/>
      <c r="H662" s="879"/>
      <c r="I662" s="880"/>
      <c r="J662" s="165"/>
      <c r="K662" s="165"/>
      <c r="L662" s="165"/>
      <c r="M662" s="165"/>
      <c r="N662" s="165"/>
      <c r="O662" s="165"/>
      <c r="P662" s="165"/>
      <c r="Q662" s="165"/>
      <c r="R662" s="165"/>
      <c r="S662" s="165"/>
      <c r="T662" s="165"/>
      <c r="U662" s="165"/>
      <c r="V662" s="165"/>
      <c r="W662" s="165"/>
      <c r="X662" s="165"/>
      <c r="Y662" s="165"/>
      <c r="Z662" s="165"/>
      <c r="AA662" s="165"/>
      <c r="AB662" s="165"/>
      <c r="AC662" s="165"/>
      <c r="AD662" s="165"/>
      <c r="AE662" s="165"/>
      <c r="AF662" s="165"/>
      <c r="AG662" s="165"/>
      <c r="AH662" s="165"/>
      <c r="AI662" s="165"/>
    </row>
    <row r="663" spans="1:35" s="166" customFormat="1" ht="48">
      <c r="A663" s="146" t="s">
        <v>49</v>
      </c>
      <c r="B663" s="147">
        <v>12</v>
      </c>
      <c r="C663" s="253" t="s">
        <v>21</v>
      </c>
      <c r="D663" s="151">
        <v>3299</v>
      </c>
      <c r="E663" s="227" t="s">
        <v>57</v>
      </c>
      <c r="F663" s="148" t="s">
        <v>690</v>
      </c>
      <c r="G663" s="883"/>
      <c r="H663" s="879"/>
      <c r="I663" s="880"/>
      <c r="J663" s="165"/>
      <c r="K663" s="165"/>
      <c r="L663" s="165"/>
      <c r="M663" s="165"/>
      <c r="N663" s="165"/>
      <c r="O663" s="165"/>
      <c r="P663" s="165"/>
      <c r="Q663" s="165"/>
      <c r="R663" s="165"/>
      <c r="S663" s="165"/>
      <c r="T663" s="165"/>
      <c r="U663" s="165"/>
      <c r="V663" s="165"/>
      <c r="W663" s="165"/>
      <c r="X663" s="165"/>
      <c r="Y663" s="165"/>
      <c r="Z663" s="165"/>
      <c r="AA663" s="165"/>
      <c r="AB663" s="165"/>
      <c r="AC663" s="165"/>
      <c r="AD663" s="165"/>
      <c r="AE663" s="165"/>
      <c r="AF663" s="165"/>
      <c r="AG663" s="165"/>
      <c r="AH663" s="165"/>
      <c r="AI663" s="165"/>
    </row>
    <row r="664" spans="1:35" s="166" customFormat="1" ht="60">
      <c r="A664" s="146" t="s">
        <v>49</v>
      </c>
      <c r="B664" s="147">
        <v>12</v>
      </c>
      <c r="C664" s="253" t="s">
        <v>21</v>
      </c>
      <c r="D664" s="151">
        <v>3431</v>
      </c>
      <c r="E664" s="227" t="s">
        <v>70</v>
      </c>
      <c r="F664" s="148" t="s">
        <v>690</v>
      </c>
      <c r="G664" s="883"/>
      <c r="H664" s="879"/>
      <c r="I664" s="880"/>
      <c r="J664" s="165"/>
      <c r="K664" s="165"/>
      <c r="L664" s="165"/>
      <c r="M664" s="165"/>
      <c r="N664" s="165"/>
      <c r="O664" s="165"/>
      <c r="P664" s="165"/>
      <c r="Q664" s="165"/>
      <c r="R664" s="165"/>
      <c r="S664" s="165"/>
      <c r="T664" s="165"/>
      <c r="U664" s="165"/>
      <c r="V664" s="165"/>
      <c r="W664" s="165"/>
      <c r="X664" s="165"/>
      <c r="Y664" s="165"/>
      <c r="Z664" s="165"/>
      <c r="AA664" s="165"/>
      <c r="AB664" s="165"/>
      <c r="AC664" s="165"/>
      <c r="AD664" s="165"/>
      <c r="AE664" s="165"/>
      <c r="AF664" s="165"/>
      <c r="AG664" s="165"/>
      <c r="AH664" s="165"/>
      <c r="AI664" s="165"/>
    </row>
    <row r="665" spans="1:35" s="166" customFormat="1" ht="72">
      <c r="A665" s="146" t="s">
        <v>49</v>
      </c>
      <c r="B665" s="147">
        <v>12</v>
      </c>
      <c r="C665" s="253" t="s">
        <v>21</v>
      </c>
      <c r="D665" s="151">
        <v>3432</v>
      </c>
      <c r="E665" s="227" t="s">
        <v>71</v>
      </c>
      <c r="F665" s="148" t="s">
        <v>690</v>
      </c>
      <c r="G665" s="883"/>
      <c r="H665" s="879"/>
      <c r="I665" s="880"/>
      <c r="J665" s="165"/>
      <c r="K665" s="165"/>
      <c r="L665" s="165"/>
      <c r="M665" s="165"/>
      <c r="N665" s="165"/>
      <c r="O665" s="165"/>
      <c r="P665" s="165"/>
      <c r="Q665" s="165"/>
      <c r="R665" s="165"/>
      <c r="S665" s="165"/>
      <c r="T665" s="165"/>
      <c r="U665" s="165"/>
      <c r="V665" s="165"/>
      <c r="W665" s="165"/>
      <c r="X665" s="165"/>
      <c r="Y665" s="165"/>
      <c r="Z665" s="165"/>
      <c r="AA665" s="165"/>
      <c r="AB665" s="165"/>
      <c r="AC665" s="165"/>
      <c r="AD665" s="165"/>
      <c r="AE665" s="165"/>
      <c r="AF665" s="165"/>
      <c r="AG665" s="165"/>
      <c r="AH665" s="165"/>
      <c r="AI665" s="165"/>
    </row>
    <row r="666" spans="1:35" s="166" customFormat="1" ht="48">
      <c r="A666" s="146" t="s">
        <v>49</v>
      </c>
      <c r="B666" s="147">
        <v>12</v>
      </c>
      <c r="C666" s="253" t="s">
        <v>21</v>
      </c>
      <c r="D666" s="151">
        <v>3433</v>
      </c>
      <c r="E666" s="227" t="s">
        <v>725</v>
      </c>
      <c r="F666" s="148" t="s">
        <v>690</v>
      </c>
      <c r="G666" s="883"/>
      <c r="H666" s="879"/>
      <c r="I666" s="880"/>
      <c r="J666" s="165"/>
      <c r="K666" s="165"/>
      <c r="L666" s="165"/>
      <c r="M666" s="165"/>
      <c r="N666" s="165"/>
      <c r="O666" s="165"/>
      <c r="P666" s="165"/>
      <c r="Q666" s="165"/>
      <c r="R666" s="165"/>
      <c r="S666" s="165"/>
      <c r="T666" s="165"/>
      <c r="U666" s="165"/>
      <c r="V666" s="165"/>
      <c r="W666" s="165"/>
      <c r="X666" s="165"/>
      <c r="Y666" s="165"/>
      <c r="Z666" s="165"/>
      <c r="AA666" s="165"/>
      <c r="AB666" s="165"/>
      <c r="AC666" s="165"/>
      <c r="AD666" s="165"/>
      <c r="AE666" s="165"/>
      <c r="AF666" s="165"/>
      <c r="AG666" s="165"/>
      <c r="AH666" s="165"/>
      <c r="AI666" s="165"/>
    </row>
    <row r="667" spans="1:35" s="166" customFormat="1" ht="48">
      <c r="A667" s="146" t="s">
        <v>49</v>
      </c>
      <c r="B667" s="147">
        <v>12</v>
      </c>
      <c r="C667" s="253" t="s">
        <v>21</v>
      </c>
      <c r="D667" s="151">
        <v>3434</v>
      </c>
      <c r="E667" s="227" t="s">
        <v>94</v>
      </c>
      <c r="F667" s="148" t="s">
        <v>690</v>
      </c>
      <c r="G667" s="883"/>
      <c r="H667" s="879"/>
      <c r="I667" s="880"/>
      <c r="J667" s="165"/>
      <c r="K667" s="165"/>
      <c r="L667" s="165"/>
      <c r="M667" s="165"/>
      <c r="N667" s="165"/>
      <c r="O667" s="165"/>
      <c r="P667" s="165"/>
      <c r="Q667" s="165"/>
      <c r="R667" s="165"/>
      <c r="S667" s="165"/>
      <c r="T667" s="165"/>
      <c r="U667" s="165"/>
      <c r="V667" s="165"/>
      <c r="W667" s="165"/>
      <c r="X667" s="165"/>
      <c r="Y667" s="165"/>
      <c r="Z667" s="165"/>
      <c r="AA667" s="165"/>
      <c r="AB667" s="165"/>
      <c r="AC667" s="165"/>
      <c r="AD667" s="165"/>
      <c r="AE667" s="165"/>
      <c r="AF667" s="165"/>
      <c r="AG667" s="165"/>
      <c r="AH667" s="165"/>
      <c r="AI667" s="165"/>
    </row>
    <row r="668" spans="1:35" s="166" customFormat="1" ht="36">
      <c r="A668" s="146" t="s">
        <v>49</v>
      </c>
      <c r="B668" s="147">
        <v>12</v>
      </c>
      <c r="C668" s="253" t="s">
        <v>21</v>
      </c>
      <c r="D668" s="151">
        <v>3522</v>
      </c>
      <c r="E668" s="227" t="s">
        <v>755</v>
      </c>
      <c r="F668" s="148" t="s">
        <v>690</v>
      </c>
      <c r="G668" s="883"/>
      <c r="H668" s="879"/>
      <c r="I668" s="880"/>
      <c r="J668" s="165"/>
      <c r="K668" s="165"/>
      <c r="L668" s="165"/>
      <c r="M668" s="165"/>
      <c r="N668" s="165"/>
      <c r="O668" s="165"/>
      <c r="P668" s="165"/>
      <c r="Q668" s="165"/>
      <c r="R668" s="165"/>
      <c r="S668" s="165"/>
      <c r="T668" s="165"/>
      <c r="U668" s="165"/>
      <c r="V668" s="165"/>
      <c r="W668" s="165"/>
      <c r="X668" s="165"/>
      <c r="Y668" s="165"/>
      <c r="Z668" s="165"/>
      <c r="AA668" s="165"/>
      <c r="AB668" s="165"/>
      <c r="AC668" s="165"/>
      <c r="AD668" s="165"/>
      <c r="AE668" s="165"/>
      <c r="AF668" s="165"/>
      <c r="AG668" s="165"/>
      <c r="AH668" s="165"/>
      <c r="AI668" s="165"/>
    </row>
    <row r="669" spans="1:35" s="166" customFormat="1" ht="84">
      <c r="A669" s="146" t="s">
        <v>49</v>
      </c>
      <c r="B669" s="147">
        <v>12</v>
      </c>
      <c r="C669" s="253" t="s">
        <v>21</v>
      </c>
      <c r="D669" s="151">
        <v>3691</v>
      </c>
      <c r="E669" s="227" t="s">
        <v>36</v>
      </c>
      <c r="F669" s="148" t="s">
        <v>690</v>
      </c>
      <c r="G669" s="883"/>
      <c r="H669" s="879"/>
      <c r="I669" s="880"/>
      <c r="J669" s="165"/>
      <c r="K669" s="165"/>
      <c r="L669" s="165"/>
      <c r="M669" s="165"/>
      <c r="N669" s="165"/>
      <c r="O669" s="165"/>
      <c r="P669" s="165"/>
      <c r="Q669" s="165"/>
      <c r="R669" s="165"/>
      <c r="S669" s="165"/>
      <c r="T669" s="165"/>
      <c r="U669" s="165"/>
      <c r="V669" s="165"/>
      <c r="W669" s="165"/>
      <c r="X669" s="165"/>
      <c r="Y669" s="165"/>
      <c r="Z669" s="165"/>
      <c r="AA669" s="165"/>
      <c r="AB669" s="165"/>
      <c r="AC669" s="165"/>
      <c r="AD669" s="165"/>
      <c r="AE669" s="165"/>
      <c r="AF669" s="165"/>
      <c r="AG669" s="165"/>
      <c r="AH669" s="165"/>
      <c r="AI669" s="165"/>
    </row>
    <row r="670" spans="1:35" s="166" customFormat="1" ht="84">
      <c r="A670" s="146" t="s">
        <v>49</v>
      </c>
      <c r="B670" s="147">
        <v>12</v>
      </c>
      <c r="C670" s="253" t="s">
        <v>21</v>
      </c>
      <c r="D670" s="151">
        <v>3692</v>
      </c>
      <c r="E670" s="227" t="s">
        <v>695</v>
      </c>
      <c r="F670" s="148" t="s">
        <v>690</v>
      </c>
      <c r="G670" s="883"/>
      <c r="H670" s="879"/>
      <c r="I670" s="880"/>
      <c r="J670" s="165"/>
      <c r="K670" s="165"/>
      <c r="L670" s="165"/>
      <c r="M670" s="165"/>
      <c r="N670" s="165"/>
      <c r="O670" s="165"/>
      <c r="P670" s="165"/>
      <c r="Q670" s="165"/>
      <c r="R670" s="165"/>
      <c r="S670" s="165"/>
      <c r="T670" s="165"/>
      <c r="U670" s="165"/>
      <c r="V670" s="165"/>
      <c r="W670" s="165"/>
      <c r="X670" s="165"/>
      <c r="Y670" s="165"/>
      <c r="Z670" s="165"/>
      <c r="AA670" s="165"/>
      <c r="AB670" s="165"/>
      <c r="AC670" s="165"/>
      <c r="AD670" s="165"/>
      <c r="AE670" s="165"/>
      <c r="AF670" s="165"/>
      <c r="AG670" s="165"/>
      <c r="AH670" s="165"/>
      <c r="AI670" s="165"/>
    </row>
    <row r="671" spans="1:35" s="166" customFormat="1" ht="120">
      <c r="A671" s="848" t="s">
        <v>49</v>
      </c>
      <c r="B671" s="849">
        <v>12</v>
      </c>
      <c r="C671" s="850" t="s">
        <v>21</v>
      </c>
      <c r="D671" s="854">
        <v>3693</v>
      </c>
      <c r="E671" s="855" t="s">
        <v>37</v>
      </c>
      <c r="F671" s="862" t="s">
        <v>690</v>
      </c>
      <c r="G671" s="883"/>
      <c r="H671" s="879"/>
      <c r="I671" s="880"/>
      <c r="J671" s="165"/>
      <c r="K671" s="165"/>
      <c r="L671" s="165"/>
      <c r="M671" s="165"/>
      <c r="N671" s="165"/>
      <c r="O671" s="165"/>
      <c r="P671" s="165"/>
      <c r="Q671" s="165"/>
      <c r="R671" s="165"/>
      <c r="S671" s="165"/>
      <c r="T671" s="165"/>
      <c r="U671" s="165"/>
      <c r="V671" s="165"/>
      <c r="W671" s="165"/>
      <c r="X671" s="165"/>
      <c r="Y671" s="165"/>
      <c r="Z671" s="165"/>
      <c r="AA671" s="165"/>
      <c r="AB671" s="165"/>
      <c r="AC671" s="165"/>
      <c r="AD671" s="165"/>
      <c r="AE671" s="165"/>
      <c r="AF671" s="165"/>
      <c r="AG671" s="165"/>
      <c r="AH671" s="165"/>
      <c r="AI671" s="165"/>
    </row>
    <row r="672" spans="1:35" s="166" customFormat="1" ht="48">
      <c r="A672" s="146" t="s">
        <v>49</v>
      </c>
      <c r="B672" s="147">
        <v>12</v>
      </c>
      <c r="C672" s="253" t="s">
        <v>21</v>
      </c>
      <c r="D672" s="151">
        <v>3721</v>
      </c>
      <c r="E672" s="227" t="s">
        <v>84</v>
      </c>
      <c r="F672" s="148" t="s">
        <v>690</v>
      </c>
      <c r="G672" s="883"/>
      <c r="H672" s="879"/>
      <c r="I672" s="880"/>
      <c r="J672" s="165"/>
      <c r="K672" s="165"/>
      <c r="L672" s="165"/>
      <c r="M672" s="165"/>
      <c r="N672" s="165"/>
      <c r="O672" s="165"/>
      <c r="P672" s="165"/>
      <c r="Q672" s="165"/>
      <c r="R672" s="165"/>
      <c r="S672" s="165"/>
      <c r="T672" s="165"/>
      <c r="U672" s="165"/>
      <c r="V672" s="165"/>
      <c r="W672" s="165"/>
      <c r="X672" s="165"/>
      <c r="Y672" s="165"/>
      <c r="Z672" s="165"/>
      <c r="AA672" s="165"/>
      <c r="AB672" s="165"/>
      <c r="AC672" s="165"/>
      <c r="AD672" s="165"/>
      <c r="AE672" s="165"/>
      <c r="AF672" s="165"/>
      <c r="AG672" s="165"/>
      <c r="AH672" s="165"/>
      <c r="AI672" s="165"/>
    </row>
    <row r="673" spans="1:35" s="166" customFormat="1" ht="36">
      <c r="A673" s="146" t="s">
        <v>49</v>
      </c>
      <c r="B673" s="147">
        <v>12</v>
      </c>
      <c r="C673" s="253" t="s">
        <v>21</v>
      </c>
      <c r="D673" s="151">
        <v>3811</v>
      </c>
      <c r="E673" s="227" t="s">
        <v>56</v>
      </c>
      <c r="F673" s="148" t="s">
        <v>690</v>
      </c>
      <c r="G673" s="883"/>
      <c r="H673" s="879"/>
      <c r="I673" s="880"/>
      <c r="J673" s="165"/>
      <c r="K673" s="165"/>
      <c r="L673" s="165"/>
      <c r="M673" s="165"/>
      <c r="N673" s="165"/>
      <c r="O673" s="165"/>
      <c r="P673" s="165"/>
      <c r="Q673" s="165"/>
      <c r="R673" s="165"/>
      <c r="S673" s="165"/>
      <c r="T673" s="165"/>
      <c r="U673" s="165"/>
      <c r="V673" s="165"/>
      <c r="W673" s="165"/>
      <c r="X673" s="165"/>
      <c r="Y673" s="165"/>
      <c r="Z673" s="165"/>
      <c r="AA673" s="165"/>
      <c r="AB673" s="165"/>
      <c r="AC673" s="165"/>
      <c r="AD673" s="165"/>
      <c r="AE673" s="165"/>
      <c r="AF673" s="165"/>
      <c r="AG673" s="165"/>
      <c r="AH673" s="165"/>
      <c r="AI673" s="165"/>
    </row>
    <row r="674" spans="1:35" s="166" customFormat="1" ht="48">
      <c r="A674" s="146" t="s">
        <v>49</v>
      </c>
      <c r="B674" s="147">
        <v>12</v>
      </c>
      <c r="C674" s="253" t="s">
        <v>21</v>
      </c>
      <c r="D674" s="151">
        <v>383</v>
      </c>
      <c r="E674" s="227" t="s">
        <v>756</v>
      </c>
      <c r="F674" s="148" t="s">
        <v>690</v>
      </c>
      <c r="G674" s="883"/>
      <c r="H674" s="879"/>
      <c r="I674" s="880"/>
      <c r="J674" s="165"/>
      <c r="K674" s="165"/>
      <c r="L674" s="165"/>
      <c r="M674" s="165"/>
      <c r="N674" s="165"/>
      <c r="O674" s="165"/>
      <c r="P674" s="165"/>
      <c r="Q674" s="165"/>
      <c r="R674" s="165"/>
      <c r="S674" s="165"/>
      <c r="T674" s="165"/>
      <c r="U674" s="165"/>
      <c r="V674" s="165"/>
      <c r="W674" s="165"/>
      <c r="X674" s="165"/>
      <c r="Y674" s="165"/>
      <c r="Z674" s="165"/>
      <c r="AA674" s="165"/>
      <c r="AB674" s="165"/>
      <c r="AC674" s="165"/>
      <c r="AD674" s="165"/>
      <c r="AE674" s="165"/>
      <c r="AF674" s="165"/>
      <c r="AG674" s="165"/>
      <c r="AH674" s="165"/>
      <c r="AI674" s="165"/>
    </row>
    <row r="675" spans="1:35" s="166" customFormat="1" ht="36">
      <c r="A675" s="146" t="s">
        <v>49</v>
      </c>
      <c r="B675" s="147">
        <v>12</v>
      </c>
      <c r="C675" s="253" t="s">
        <v>21</v>
      </c>
      <c r="D675" s="151">
        <v>4123</v>
      </c>
      <c r="E675" s="227" t="s">
        <v>92</v>
      </c>
      <c r="F675" s="148" t="s">
        <v>690</v>
      </c>
      <c r="G675" s="883"/>
      <c r="H675" s="879"/>
      <c r="I675" s="880"/>
      <c r="J675" s="165"/>
      <c r="K675" s="165"/>
      <c r="L675" s="165"/>
      <c r="M675" s="165"/>
      <c r="N675" s="165"/>
      <c r="O675" s="165"/>
      <c r="P675" s="165"/>
      <c r="Q675" s="165"/>
      <c r="R675" s="165"/>
      <c r="S675" s="165"/>
      <c r="T675" s="165"/>
      <c r="U675" s="165"/>
      <c r="V675" s="165"/>
      <c r="W675" s="165"/>
      <c r="X675" s="165"/>
      <c r="Y675" s="165"/>
      <c r="Z675" s="165"/>
      <c r="AA675" s="165"/>
      <c r="AB675" s="165"/>
      <c r="AC675" s="165"/>
      <c r="AD675" s="165"/>
      <c r="AE675" s="165"/>
      <c r="AF675" s="165"/>
      <c r="AG675" s="165"/>
      <c r="AH675" s="165"/>
      <c r="AI675" s="165"/>
    </row>
    <row r="676" spans="1:35" s="166" customFormat="1" ht="60">
      <c r="A676" s="146" t="s">
        <v>49</v>
      </c>
      <c r="B676" s="147">
        <v>12</v>
      </c>
      <c r="C676" s="253" t="s">
        <v>21</v>
      </c>
      <c r="D676" s="151">
        <v>4124</v>
      </c>
      <c r="E676" s="227" t="s">
        <v>721</v>
      </c>
      <c r="F676" s="148" t="s">
        <v>690</v>
      </c>
      <c r="G676" s="883"/>
      <c r="H676" s="879"/>
      <c r="I676" s="880"/>
      <c r="J676" s="165"/>
      <c r="K676" s="165"/>
      <c r="L676" s="165"/>
      <c r="M676" s="165"/>
      <c r="N676" s="165"/>
      <c r="O676" s="165"/>
      <c r="P676" s="165"/>
      <c r="Q676" s="165"/>
      <c r="R676" s="165"/>
      <c r="S676" s="165"/>
      <c r="T676" s="165"/>
      <c r="U676" s="165"/>
      <c r="V676" s="165"/>
      <c r="W676" s="165"/>
      <c r="X676" s="165"/>
      <c r="Y676" s="165"/>
      <c r="Z676" s="165"/>
      <c r="AA676" s="165"/>
      <c r="AB676" s="165"/>
      <c r="AC676" s="165"/>
      <c r="AD676" s="165"/>
      <c r="AE676" s="165"/>
      <c r="AF676" s="165"/>
      <c r="AG676" s="165"/>
      <c r="AH676" s="165"/>
      <c r="AI676" s="165"/>
    </row>
    <row r="677" spans="1:35" s="166" customFormat="1" ht="36">
      <c r="A677" s="146" t="s">
        <v>49</v>
      </c>
      <c r="B677" s="147">
        <v>12</v>
      </c>
      <c r="C677" s="253" t="s">
        <v>21</v>
      </c>
      <c r="D677" s="151">
        <v>4126</v>
      </c>
      <c r="E677" s="227" t="s">
        <v>757</v>
      </c>
      <c r="F677" s="148" t="s">
        <v>690</v>
      </c>
      <c r="G677" s="883"/>
      <c r="H677" s="879"/>
      <c r="I677" s="880"/>
      <c r="J677" s="165"/>
      <c r="K677" s="165"/>
      <c r="L677" s="165"/>
      <c r="M677" s="165"/>
      <c r="N677" s="165"/>
      <c r="O677" s="165"/>
      <c r="P677" s="165"/>
      <c r="Q677" s="165"/>
      <c r="R677" s="165"/>
      <c r="S677" s="165"/>
      <c r="T677" s="165"/>
      <c r="U677" s="165"/>
      <c r="V677" s="165"/>
      <c r="W677" s="165"/>
      <c r="X677" s="165"/>
      <c r="Y677" s="165"/>
      <c r="Z677" s="165"/>
      <c r="AA677" s="165"/>
      <c r="AB677" s="165"/>
      <c r="AC677" s="165"/>
      <c r="AD677" s="165"/>
      <c r="AE677" s="165"/>
      <c r="AF677" s="165"/>
      <c r="AG677" s="165"/>
      <c r="AH677" s="165"/>
      <c r="AI677" s="165"/>
    </row>
    <row r="678" spans="1:35" s="166" customFormat="1" ht="36">
      <c r="A678" s="146" t="s">
        <v>49</v>
      </c>
      <c r="B678" s="147">
        <v>12</v>
      </c>
      <c r="C678" s="253" t="s">
        <v>21</v>
      </c>
      <c r="D678" s="151">
        <v>4212</v>
      </c>
      <c r="E678" s="227" t="s">
        <v>58</v>
      </c>
      <c r="F678" s="148" t="s">
        <v>690</v>
      </c>
      <c r="G678" s="883"/>
      <c r="H678" s="879"/>
      <c r="I678" s="880"/>
      <c r="J678" s="165"/>
      <c r="K678" s="165"/>
      <c r="L678" s="165"/>
      <c r="M678" s="165"/>
      <c r="N678" s="165"/>
      <c r="O678" s="165"/>
      <c r="P678" s="165"/>
      <c r="Q678" s="165"/>
      <c r="R678" s="165"/>
      <c r="S678" s="165"/>
      <c r="T678" s="165"/>
      <c r="U678" s="165"/>
      <c r="V678" s="165"/>
      <c r="W678" s="165"/>
      <c r="X678" s="165"/>
      <c r="Y678" s="165"/>
      <c r="Z678" s="165"/>
      <c r="AA678" s="165"/>
      <c r="AB678" s="165"/>
      <c r="AC678" s="165"/>
      <c r="AD678" s="165"/>
      <c r="AE678" s="165"/>
      <c r="AF678" s="165"/>
      <c r="AG678" s="165"/>
      <c r="AH678" s="165"/>
      <c r="AI678" s="165"/>
    </row>
    <row r="679" spans="1:35" s="166" customFormat="1" ht="60">
      <c r="A679" s="146" t="s">
        <v>49</v>
      </c>
      <c r="B679" s="147">
        <v>12</v>
      </c>
      <c r="C679" s="253" t="s">
        <v>21</v>
      </c>
      <c r="D679" s="151">
        <v>4213</v>
      </c>
      <c r="E679" s="227" t="s">
        <v>758</v>
      </c>
      <c r="F679" s="148" t="s">
        <v>690</v>
      </c>
      <c r="G679" s="883"/>
      <c r="H679" s="879"/>
      <c r="I679" s="880"/>
      <c r="J679" s="165"/>
      <c r="K679" s="165"/>
      <c r="L679" s="165"/>
      <c r="M679" s="165"/>
      <c r="N679" s="165"/>
      <c r="O679" s="165"/>
      <c r="P679" s="165"/>
      <c r="Q679" s="165"/>
      <c r="R679" s="165"/>
      <c r="S679" s="165"/>
      <c r="T679" s="165"/>
      <c r="U679" s="165"/>
      <c r="V679" s="165"/>
      <c r="W679" s="165"/>
      <c r="X679" s="165"/>
      <c r="Y679" s="165"/>
      <c r="Z679" s="165"/>
      <c r="AA679" s="165"/>
      <c r="AB679" s="165"/>
      <c r="AC679" s="165"/>
      <c r="AD679" s="165"/>
      <c r="AE679" s="165"/>
      <c r="AF679" s="165"/>
      <c r="AG679" s="165"/>
      <c r="AH679" s="165"/>
      <c r="AI679" s="165"/>
    </row>
    <row r="680" spans="1:35" s="166" customFormat="1" ht="36">
      <c r="A680" s="146" t="s">
        <v>49</v>
      </c>
      <c r="B680" s="147">
        <v>12</v>
      </c>
      <c r="C680" s="253" t="s">
        <v>21</v>
      </c>
      <c r="D680" s="151">
        <v>4214</v>
      </c>
      <c r="E680" s="227" t="s">
        <v>719</v>
      </c>
      <c r="F680" s="148" t="s">
        <v>690</v>
      </c>
      <c r="G680" s="883"/>
      <c r="H680" s="879"/>
      <c r="I680" s="880"/>
      <c r="J680" s="165"/>
      <c r="K680" s="165"/>
      <c r="L680" s="165"/>
      <c r="M680" s="165"/>
      <c r="N680" s="165"/>
      <c r="O680" s="165"/>
      <c r="P680" s="165"/>
      <c r="Q680" s="165"/>
      <c r="R680" s="165"/>
      <c r="S680" s="165"/>
      <c r="T680" s="165"/>
      <c r="U680" s="165"/>
      <c r="V680" s="165"/>
      <c r="W680" s="165"/>
      <c r="X680" s="165"/>
      <c r="Y680" s="165"/>
      <c r="Z680" s="165"/>
      <c r="AA680" s="165"/>
      <c r="AB680" s="165"/>
      <c r="AC680" s="165"/>
      <c r="AD680" s="165"/>
      <c r="AE680" s="165"/>
      <c r="AF680" s="165"/>
      <c r="AG680" s="165"/>
      <c r="AH680" s="165"/>
      <c r="AI680" s="165"/>
    </row>
    <row r="681" spans="1:35" s="166" customFormat="1" ht="36">
      <c r="A681" s="146" t="s">
        <v>49</v>
      </c>
      <c r="B681" s="147">
        <v>12</v>
      </c>
      <c r="C681" s="253" t="s">
        <v>21</v>
      </c>
      <c r="D681" s="151">
        <v>4221</v>
      </c>
      <c r="E681" s="227" t="s">
        <v>63</v>
      </c>
      <c r="F681" s="148" t="s">
        <v>690</v>
      </c>
      <c r="G681" s="883"/>
      <c r="H681" s="879"/>
      <c r="I681" s="880"/>
      <c r="J681" s="165"/>
      <c r="K681" s="165"/>
      <c r="L681" s="165"/>
      <c r="M681" s="165"/>
      <c r="N681" s="165"/>
      <c r="O681" s="165"/>
      <c r="P681" s="165"/>
      <c r="Q681" s="165"/>
      <c r="R681" s="165"/>
      <c r="S681" s="165"/>
      <c r="T681" s="165"/>
      <c r="U681" s="165"/>
      <c r="V681" s="165"/>
      <c r="W681" s="165"/>
      <c r="X681" s="165"/>
      <c r="Y681" s="165"/>
      <c r="Z681" s="165"/>
      <c r="AA681" s="165"/>
      <c r="AB681" s="165"/>
      <c r="AC681" s="165"/>
      <c r="AD681" s="165"/>
      <c r="AE681" s="165"/>
      <c r="AF681" s="165"/>
      <c r="AG681" s="165"/>
      <c r="AH681" s="165"/>
      <c r="AI681" s="165"/>
    </row>
    <row r="682" spans="1:35" s="166" customFormat="1" ht="36">
      <c r="A682" s="146" t="s">
        <v>49</v>
      </c>
      <c r="B682" s="147">
        <v>12</v>
      </c>
      <c r="C682" s="253" t="s">
        <v>21</v>
      </c>
      <c r="D682" s="151">
        <v>4222</v>
      </c>
      <c r="E682" s="227" t="s">
        <v>72</v>
      </c>
      <c r="F682" s="148" t="s">
        <v>690</v>
      </c>
      <c r="G682" s="883"/>
      <c r="H682" s="879"/>
      <c r="I682" s="880"/>
      <c r="J682" s="165"/>
      <c r="K682" s="165"/>
      <c r="L682" s="165"/>
      <c r="M682" s="165"/>
      <c r="N682" s="165"/>
      <c r="O682" s="165"/>
      <c r="P682" s="165"/>
      <c r="Q682" s="165"/>
      <c r="R682" s="165"/>
      <c r="S682" s="165"/>
      <c r="T682" s="165"/>
      <c r="U682" s="165"/>
      <c r="V682" s="165"/>
      <c r="W682" s="165"/>
      <c r="X682" s="165"/>
      <c r="Y682" s="165"/>
      <c r="Z682" s="165"/>
      <c r="AA682" s="165"/>
      <c r="AB682" s="165"/>
      <c r="AC682" s="165"/>
      <c r="AD682" s="165"/>
      <c r="AE682" s="165"/>
      <c r="AF682" s="165"/>
      <c r="AG682" s="165"/>
      <c r="AH682" s="165"/>
      <c r="AI682" s="165"/>
    </row>
    <row r="683" spans="1:35" s="166" customFormat="1" ht="36">
      <c r="A683" s="150" t="s">
        <v>49</v>
      </c>
      <c r="B683" s="151">
        <v>12</v>
      </c>
      <c r="C683" s="254" t="s">
        <v>21</v>
      </c>
      <c r="D683" s="151">
        <v>4223</v>
      </c>
      <c r="E683" s="227" t="s">
        <v>90</v>
      </c>
      <c r="F683" s="153" t="s">
        <v>690</v>
      </c>
      <c r="G683" s="883"/>
      <c r="H683" s="879"/>
      <c r="I683" s="880"/>
      <c r="J683" s="165"/>
      <c r="K683" s="165"/>
      <c r="L683" s="165"/>
      <c r="M683" s="165"/>
      <c r="N683" s="165"/>
      <c r="O683" s="165"/>
      <c r="P683" s="165"/>
      <c r="Q683" s="165"/>
      <c r="R683" s="165"/>
      <c r="S683" s="165"/>
      <c r="T683" s="165"/>
      <c r="U683" s="165"/>
      <c r="V683" s="165"/>
      <c r="W683" s="165"/>
      <c r="X683" s="165"/>
      <c r="Y683" s="165"/>
      <c r="Z683" s="165"/>
      <c r="AA683" s="165"/>
      <c r="AB683" s="165"/>
      <c r="AC683" s="165"/>
      <c r="AD683" s="165"/>
      <c r="AE683" s="165"/>
      <c r="AF683" s="165"/>
      <c r="AG683" s="165"/>
      <c r="AH683" s="165"/>
      <c r="AI683" s="165"/>
    </row>
    <row r="684" spans="1:35" ht="36">
      <c r="A684" s="150" t="s">
        <v>49</v>
      </c>
      <c r="B684" s="151">
        <v>12</v>
      </c>
      <c r="C684" s="254" t="s">
        <v>21</v>
      </c>
      <c r="D684" s="151">
        <v>4224</v>
      </c>
      <c r="E684" s="227" t="s">
        <v>73</v>
      </c>
      <c r="F684" s="153" t="s">
        <v>690</v>
      </c>
      <c r="G684" s="883"/>
      <c r="H684" s="879"/>
      <c r="I684" s="880"/>
      <c r="J684" s="149"/>
      <c r="K684" s="149"/>
      <c r="L684" s="149"/>
      <c r="M684" s="149"/>
      <c r="N684" s="149"/>
      <c r="O684" s="149"/>
      <c r="P684" s="149"/>
      <c r="Q684" s="149"/>
      <c r="R684" s="149"/>
      <c r="S684" s="149"/>
      <c r="T684" s="149"/>
      <c r="U684" s="149"/>
      <c r="V684" s="149"/>
      <c r="W684" s="149"/>
      <c r="X684" s="149"/>
      <c r="Y684" s="149"/>
      <c r="Z684" s="149"/>
      <c r="AA684" s="149"/>
      <c r="AB684" s="149"/>
      <c r="AC684" s="149"/>
      <c r="AD684" s="149"/>
      <c r="AE684" s="149"/>
      <c r="AF684" s="149"/>
      <c r="AG684" s="149"/>
      <c r="AH684" s="149"/>
      <c r="AI684" s="149"/>
    </row>
    <row r="685" spans="1:35" ht="36">
      <c r="A685" s="150" t="s">
        <v>49</v>
      </c>
      <c r="B685" s="151">
        <v>12</v>
      </c>
      <c r="C685" s="254" t="s">
        <v>21</v>
      </c>
      <c r="D685" s="151">
        <v>4225</v>
      </c>
      <c r="E685" s="227" t="s">
        <v>85</v>
      </c>
      <c r="F685" s="153" t="s">
        <v>690</v>
      </c>
      <c r="G685" s="883"/>
      <c r="H685" s="879"/>
      <c r="I685" s="880"/>
      <c r="J685" s="149"/>
      <c r="K685" s="149"/>
      <c r="L685" s="149"/>
      <c r="M685" s="149"/>
      <c r="N685" s="149"/>
      <c r="O685" s="149"/>
      <c r="P685" s="149"/>
      <c r="Q685" s="149"/>
      <c r="R685" s="149"/>
      <c r="S685" s="149"/>
      <c r="T685" s="149"/>
      <c r="U685" s="149"/>
      <c r="V685" s="149"/>
      <c r="W685" s="149"/>
      <c r="X685" s="149"/>
      <c r="Y685" s="149"/>
      <c r="Z685" s="149"/>
      <c r="AA685" s="149"/>
      <c r="AB685" s="149"/>
      <c r="AC685" s="149"/>
      <c r="AD685" s="149"/>
      <c r="AE685" s="149"/>
      <c r="AF685" s="149"/>
      <c r="AG685" s="149"/>
      <c r="AH685" s="149"/>
      <c r="AI685" s="149"/>
    </row>
    <row r="686" spans="1:35" ht="36">
      <c r="A686" s="150" t="s">
        <v>49</v>
      </c>
      <c r="B686" s="151">
        <v>12</v>
      </c>
      <c r="C686" s="254" t="s">
        <v>21</v>
      </c>
      <c r="D686" s="151">
        <v>4226</v>
      </c>
      <c r="E686" s="227" t="s">
        <v>716</v>
      </c>
      <c r="F686" s="153" t="s">
        <v>690</v>
      </c>
      <c r="G686" s="883"/>
      <c r="H686" s="879"/>
      <c r="I686" s="880"/>
      <c r="J686" s="149"/>
      <c r="K686" s="149"/>
      <c r="L686" s="149"/>
      <c r="M686" s="149"/>
      <c r="N686" s="149"/>
      <c r="O686" s="149"/>
      <c r="P686" s="149"/>
      <c r="Q686" s="149"/>
      <c r="R686" s="149"/>
      <c r="S686" s="149"/>
      <c r="T686" s="149"/>
      <c r="U686" s="149"/>
      <c r="V686" s="149"/>
      <c r="W686" s="149"/>
      <c r="X686" s="149"/>
      <c r="Y686" s="149"/>
      <c r="Z686" s="149"/>
      <c r="AA686" s="149"/>
      <c r="AB686" s="149"/>
      <c r="AC686" s="149"/>
      <c r="AD686" s="149"/>
      <c r="AE686" s="149"/>
      <c r="AF686" s="149"/>
      <c r="AG686" s="149"/>
      <c r="AH686" s="149"/>
      <c r="AI686" s="149"/>
    </row>
    <row r="687" spans="1:35" ht="60">
      <c r="A687" s="150" t="s">
        <v>49</v>
      </c>
      <c r="B687" s="151">
        <v>12</v>
      </c>
      <c r="C687" s="254" t="s">
        <v>21</v>
      </c>
      <c r="D687" s="151">
        <v>4227</v>
      </c>
      <c r="E687" s="227" t="s">
        <v>93</v>
      </c>
      <c r="F687" s="153" t="s">
        <v>690</v>
      </c>
      <c r="G687" s="883"/>
      <c r="H687" s="879"/>
      <c r="I687" s="880"/>
      <c r="J687" s="149"/>
      <c r="K687" s="149"/>
      <c r="L687" s="149"/>
      <c r="M687" s="149"/>
      <c r="N687" s="149"/>
      <c r="O687" s="149"/>
      <c r="P687" s="149"/>
      <c r="Q687" s="149"/>
      <c r="R687" s="149"/>
      <c r="S687" s="149"/>
      <c r="T687" s="149"/>
      <c r="U687" s="149"/>
      <c r="V687" s="149"/>
      <c r="W687" s="149"/>
      <c r="X687" s="149"/>
      <c r="Y687" s="149"/>
      <c r="Z687" s="149"/>
      <c r="AA687" s="149"/>
      <c r="AB687" s="149"/>
      <c r="AC687" s="149"/>
      <c r="AD687" s="149"/>
      <c r="AE687" s="149"/>
      <c r="AF687" s="149"/>
      <c r="AG687" s="149"/>
      <c r="AH687" s="149"/>
      <c r="AI687" s="149"/>
    </row>
    <row r="688" spans="1:35" ht="48">
      <c r="A688" s="150" t="s">
        <v>49</v>
      </c>
      <c r="B688" s="151">
        <v>12</v>
      </c>
      <c r="C688" s="254" t="s">
        <v>21</v>
      </c>
      <c r="D688" s="151">
        <v>4231</v>
      </c>
      <c r="E688" s="227" t="s">
        <v>98</v>
      </c>
      <c r="F688" s="153" t="s">
        <v>690</v>
      </c>
      <c r="G688" s="883"/>
      <c r="H688" s="879"/>
      <c r="I688" s="880"/>
      <c r="J688" s="149"/>
      <c r="K688" s="149"/>
      <c r="L688" s="149"/>
      <c r="M688" s="149"/>
      <c r="N688" s="149"/>
      <c r="O688" s="149"/>
      <c r="P688" s="149"/>
      <c r="Q688" s="149"/>
      <c r="R688" s="149"/>
      <c r="S688" s="149"/>
      <c r="T688" s="149"/>
      <c r="U688" s="149"/>
      <c r="V688" s="149"/>
      <c r="W688" s="149"/>
      <c r="X688" s="149"/>
      <c r="Y688" s="149"/>
      <c r="Z688" s="149"/>
      <c r="AA688" s="149"/>
      <c r="AB688" s="149"/>
      <c r="AC688" s="149"/>
      <c r="AD688" s="149"/>
      <c r="AE688" s="149"/>
      <c r="AF688" s="149"/>
      <c r="AG688" s="149"/>
      <c r="AH688" s="149"/>
      <c r="AI688" s="149"/>
    </row>
    <row r="689" spans="1:35" ht="60">
      <c r="A689" s="150" t="s">
        <v>49</v>
      </c>
      <c r="B689" s="151">
        <v>12</v>
      </c>
      <c r="C689" s="254" t="s">
        <v>21</v>
      </c>
      <c r="D689" s="151">
        <v>4233</v>
      </c>
      <c r="E689" s="227" t="s">
        <v>759</v>
      </c>
      <c r="F689" s="153" t="s">
        <v>690</v>
      </c>
      <c r="G689" s="883"/>
      <c r="H689" s="879"/>
      <c r="I689" s="880"/>
      <c r="J689" s="149"/>
      <c r="K689" s="149"/>
      <c r="L689" s="149"/>
      <c r="M689" s="149"/>
      <c r="N689" s="149"/>
      <c r="O689" s="149"/>
      <c r="P689" s="149"/>
      <c r="Q689" s="149"/>
      <c r="R689" s="149"/>
      <c r="S689" s="149"/>
      <c r="T689" s="149"/>
      <c r="U689" s="149"/>
      <c r="V689" s="149"/>
      <c r="W689" s="149"/>
      <c r="X689" s="149"/>
      <c r="Y689" s="149"/>
      <c r="Z689" s="149"/>
      <c r="AA689" s="149"/>
      <c r="AB689" s="149"/>
      <c r="AC689" s="149"/>
      <c r="AD689" s="149"/>
      <c r="AE689" s="149"/>
      <c r="AF689" s="149"/>
      <c r="AG689" s="149"/>
      <c r="AH689" s="149"/>
      <c r="AI689" s="149"/>
    </row>
    <row r="690" spans="1:35" ht="36">
      <c r="A690" s="150" t="s">
        <v>49</v>
      </c>
      <c r="B690" s="151">
        <v>12</v>
      </c>
      <c r="C690" s="254" t="s">
        <v>21</v>
      </c>
      <c r="D690" s="151">
        <v>4241</v>
      </c>
      <c r="E690" s="227" t="s">
        <v>74</v>
      </c>
      <c r="F690" s="153" t="s">
        <v>690</v>
      </c>
      <c r="G690" s="883"/>
      <c r="H690" s="879"/>
      <c r="I690" s="880"/>
      <c r="J690" s="149"/>
      <c r="K690" s="149"/>
      <c r="L690" s="149"/>
      <c r="M690" s="149"/>
      <c r="N690" s="149"/>
      <c r="O690" s="149"/>
      <c r="P690" s="149"/>
      <c r="Q690" s="149"/>
      <c r="R690" s="149"/>
      <c r="S690" s="149"/>
      <c r="T690" s="149"/>
      <c r="U690" s="149"/>
      <c r="V690" s="149"/>
      <c r="W690" s="149"/>
      <c r="X690" s="149"/>
      <c r="Y690" s="149"/>
      <c r="Z690" s="149"/>
      <c r="AA690" s="149"/>
      <c r="AB690" s="149"/>
      <c r="AC690" s="149"/>
      <c r="AD690" s="149"/>
      <c r="AE690" s="149"/>
      <c r="AF690" s="149"/>
      <c r="AG690" s="149"/>
      <c r="AH690" s="149"/>
      <c r="AI690" s="149"/>
    </row>
    <row r="691" spans="1:35" ht="48">
      <c r="A691" s="150" t="s">
        <v>49</v>
      </c>
      <c r="B691" s="151">
        <v>12</v>
      </c>
      <c r="C691" s="254" t="s">
        <v>21</v>
      </c>
      <c r="D691" s="151">
        <v>4244</v>
      </c>
      <c r="E691" s="227" t="s">
        <v>760</v>
      </c>
      <c r="F691" s="153" t="s">
        <v>690</v>
      </c>
      <c r="G691" s="883"/>
      <c r="H691" s="879"/>
      <c r="I691" s="880"/>
      <c r="J691" s="149"/>
      <c r="K691" s="149"/>
      <c r="L691" s="149"/>
      <c r="M691" s="149"/>
      <c r="N691" s="149"/>
      <c r="O691" s="149"/>
      <c r="P691" s="149"/>
      <c r="Q691" s="149"/>
      <c r="R691" s="149"/>
      <c r="S691" s="149"/>
      <c r="T691" s="149"/>
      <c r="U691" s="149"/>
      <c r="V691" s="149"/>
      <c r="W691" s="149"/>
      <c r="X691" s="149"/>
      <c r="Y691" s="149"/>
      <c r="Z691" s="149"/>
      <c r="AA691" s="149"/>
      <c r="AB691" s="149"/>
      <c r="AC691" s="149"/>
      <c r="AD691" s="149"/>
      <c r="AE691" s="149"/>
      <c r="AF691" s="149"/>
      <c r="AG691" s="149"/>
      <c r="AH691" s="149"/>
      <c r="AI691" s="149"/>
    </row>
    <row r="692" spans="1:35" ht="36">
      <c r="A692" s="150" t="s">
        <v>49</v>
      </c>
      <c r="B692" s="151">
        <v>12</v>
      </c>
      <c r="C692" s="254" t="s">
        <v>21</v>
      </c>
      <c r="D692" s="151">
        <v>4262</v>
      </c>
      <c r="E692" s="227" t="s">
        <v>86</v>
      </c>
      <c r="F692" s="153" t="s">
        <v>690</v>
      </c>
      <c r="G692" s="883"/>
      <c r="H692" s="879"/>
      <c r="I692" s="880"/>
      <c r="J692" s="149"/>
      <c r="K692" s="149"/>
      <c r="L692" s="149"/>
      <c r="M692" s="149"/>
      <c r="N692" s="149"/>
      <c r="O692" s="149"/>
      <c r="P692" s="149"/>
      <c r="Q692" s="149"/>
      <c r="R692" s="149"/>
      <c r="S692" s="149"/>
      <c r="T692" s="149"/>
      <c r="U692" s="149"/>
      <c r="V692" s="149"/>
      <c r="W692" s="149"/>
      <c r="X692" s="149"/>
      <c r="Y692" s="149"/>
      <c r="Z692" s="149"/>
      <c r="AA692" s="149"/>
      <c r="AB692" s="149"/>
      <c r="AC692" s="149"/>
      <c r="AD692" s="149"/>
      <c r="AE692" s="149"/>
      <c r="AF692" s="149"/>
      <c r="AG692" s="149"/>
      <c r="AH692" s="149"/>
      <c r="AI692" s="149"/>
    </row>
    <row r="693" spans="1:35" ht="60">
      <c r="A693" s="150" t="s">
        <v>49</v>
      </c>
      <c r="B693" s="151">
        <v>12</v>
      </c>
      <c r="C693" s="254" t="s">
        <v>21</v>
      </c>
      <c r="D693" s="151">
        <v>4264</v>
      </c>
      <c r="E693" s="227" t="s">
        <v>761</v>
      </c>
      <c r="F693" s="153" t="s">
        <v>690</v>
      </c>
      <c r="G693" s="883"/>
      <c r="H693" s="879"/>
      <c r="I693" s="880"/>
      <c r="J693" s="149"/>
      <c r="K693" s="149"/>
      <c r="L693" s="149"/>
      <c r="M693" s="149"/>
      <c r="N693" s="149"/>
      <c r="O693" s="149"/>
      <c r="P693" s="149"/>
      <c r="Q693" s="149"/>
      <c r="R693" s="149"/>
      <c r="S693" s="149"/>
      <c r="T693" s="149"/>
      <c r="U693" s="149"/>
      <c r="V693" s="149"/>
      <c r="W693" s="149"/>
      <c r="X693" s="149"/>
      <c r="Y693" s="149"/>
      <c r="Z693" s="149"/>
      <c r="AA693" s="149"/>
      <c r="AB693" s="149"/>
      <c r="AC693" s="149"/>
      <c r="AD693" s="149"/>
      <c r="AE693" s="149"/>
      <c r="AF693" s="149"/>
      <c r="AG693" s="149"/>
      <c r="AH693" s="149"/>
      <c r="AI693" s="149"/>
    </row>
    <row r="694" spans="1:35" ht="60">
      <c r="A694" s="150" t="s">
        <v>49</v>
      </c>
      <c r="B694" s="151">
        <v>12</v>
      </c>
      <c r="C694" s="254" t="s">
        <v>21</v>
      </c>
      <c r="D694" s="151">
        <v>4312</v>
      </c>
      <c r="E694" s="227" t="s">
        <v>684</v>
      </c>
      <c r="F694" s="153" t="s">
        <v>690</v>
      </c>
      <c r="G694" s="883"/>
      <c r="H694" s="879"/>
      <c r="I694" s="880"/>
      <c r="J694" s="149"/>
      <c r="K694" s="149"/>
      <c r="L694" s="149"/>
      <c r="M694" s="149"/>
      <c r="N694" s="149"/>
      <c r="O694" s="149"/>
      <c r="P694" s="149"/>
      <c r="Q694" s="149"/>
      <c r="R694" s="149"/>
      <c r="S694" s="149"/>
      <c r="T694" s="149"/>
      <c r="U694" s="149"/>
      <c r="V694" s="149"/>
      <c r="W694" s="149"/>
      <c r="X694" s="149"/>
      <c r="Y694" s="149"/>
      <c r="Z694" s="149"/>
      <c r="AA694" s="149"/>
      <c r="AB694" s="149"/>
      <c r="AC694" s="149"/>
      <c r="AD694" s="149"/>
      <c r="AE694" s="149"/>
      <c r="AF694" s="149"/>
      <c r="AG694" s="149"/>
      <c r="AH694" s="149"/>
      <c r="AI694" s="149"/>
    </row>
    <row r="695" spans="1:35" ht="48">
      <c r="A695" s="150" t="s">
        <v>49</v>
      </c>
      <c r="B695" s="151">
        <v>12</v>
      </c>
      <c r="C695" s="254" t="s">
        <v>21</v>
      </c>
      <c r="D695" s="155">
        <v>4511</v>
      </c>
      <c r="E695" s="228" t="s">
        <v>91</v>
      </c>
      <c r="F695" s="153" t="s">
        <v>690</v>
      </c>
      <c r="G695" s="883"/>
      <c r="H695" s="879"/>
      <c r="I695" s="880"/>
      <c r="J695" s="149"/>
      <c r="K695" s="149"/>
      <c r="L695" s="149"/>
      <c r="M695" s="149"/>
      <c r="N695" s="149"/>
      <c r="O695" s="149"/>
      <c r="P695" s="149"/>
      <c r="Q695" s="149"/>
      <c r="R695" s="149"/>
      <c r="S695" s="149"/>
      <c r="T695" s="149"/>
      <c r="U695" s="149"/>
      <c r="V695" s="149"/>
      <c r="W695" s="149"/>
      <c r="X695" s="149"/>
      <c r="Y695" s="149"/>
      <c r="Z695" s="149"/>
      <c r="AA695" s="149"/>
      <c r="AB695" s="149"/>
      <c r="AC695" s="149"/>
      <c r="AD695" s="149"/>
      <c r="AE695" s="149"/>
      <c r="AF695" s="149"/>
      <c r="AG695" s="149"/>
      <c r="AH695" s="149"/>
      <c r="AI695" s="149"/>
    </row>
    <row r="696" spans="1:35" ht="48.75" thickBot="1">
      <c r="A696" s="154" t="s">
        <v>49</v>
      </c>
      <c r="B696" s="155">
        <v>12</v>
      </c>
      <c r="C696" s="255" t="s">
        <v>21</v>
      </c>
      <c r="D696" s="155">
        <v>4521</v>
      </c>
      <c r="E696" s="228" t="s">
        <v>95</v>
      </c>
      <c r="F696" s="156" t="s">
        <v>690</v>
      </c>
      <c r="G696" s="883"/>
      <c r="H696" s="879"/>
      <c r="I696" s="880"/>
      <c r="J696" s="149"/>
      <c r="K696" s="149"/>
      <c r="L696" s="149"/>
      <c r="M696" s="149"/>
      <c r="N696" s="149"/>
      <c r="O696" s="149"/>
      <c r="P696" s="149"/>
      <c r="Q696" s="149"/>
      <c r="R696" s="149"/>
      <c r="S696" s="149"/>
      <c r="T696" s="149"/>
      <c r="U696" s="149"/>
      <c r="V696" s="149"/>
      <c r="W696" s="149"/>
      <c r="X696" s="149"/>
      <c r="Y696" s="149"/>
      <c r="Z696" s="149"/>
      <c r="AA696" s="149"/>
      <c r="AB696" s="149"/>
      <c r="AC696" s="149"/>
      <c r="AD696" s="149"/>
      <c r="AE696" s="149"/>
      <c r="AF696" s="149"/>
      <c r="AG696" s="149"/>
      <c r="AH696" s="149"/>
      <c r="AI696" s="149"/>
    </row>
    <row r="697" spans="1:35" ht="36.75" thickBot="1">
      <c r="A697" s="157" t="s">
        <v>49</v>
      </c>
      <c r="B697" s="158">
        <v>12</v>
      </c>
      <c r="C697" s="256" t="s">
        <v>21</v>
      </c>
      <c r="D697" s="158"/>
      <c r="E697" s="229" t="s">
        <v>161</v>
      </c>
      <c r="F697" s="210" t="s">
        <v>690</v>
      </c>
      <c r="G697" s="891">
        <f>SUM(G629:G696)</f>
        <v>0</v>
      </c>
      <c r="H697" s="876">
        <f>SUM(H629:H696)</f>
        <v>0</v>
      </c>
      <c r="I697" s="877">
        <f>SUM(I629:I696)</f>
        <v>0</v>
      </c>
      <c r="J697" s="149"/>
      <c r="K697" s="149"/>
      <c r="L697" s="149"/>
      <c r="M697" s="149"/>
      <c r="N697" s="149"/>
      <c r="O697" s="149"/>
      <c r="P697" s="149"/>
      <c r="Q697" s="149"/>
      <c r="R697" s="149"/>
      <c r="S697" s="149"/>
      <c r="T697" s="149"/>
      <c r="U697" s="149"/>
      <c r="V697" s="149"/>
      <c r="W697" s="149"/>
      <c r="X697" s="149"/>
      <c r="Y697" s="149"/>
      <c r="Z697" s="149"/>
      <c r="AA697" s="149"/>
      <c r="AB697" s="149"/>
      <c r="AC697" s="149"/>
      <c r="AD697" s="149"/>
      <c r="AE697" s="149"/>
      <c r="AF697" s="149"/>
      <c r="AG697" s="149"/>
      <c r="AH697" s="149"/>
      <c r="AI697" s="149"/>
    </row>
    <row r="698" spans="1:35" ht="36">
      <c r="A698" s="204" t="s">
        <v>49</v>
      </c>
      <c r="B698" s="205">
        <v>12</v>
      </c>
      <c r="C698" s="238" t="s">
        <v>21</v>
      </c>
      <c r="D698" s="205">
        <v>3233</v>
      </c>
      <c r="E698" s="238" t="s">
        <v>81</v>
      </c>
      <c r="F698" s="211" t="s">
        <v>782</v>
      </c>
      <c r="G698" s="883"/>
      <c r="H698" s="879"/>
      <c r="I698" s="880"/>
      <c r="J698" s="149"/>
      <c r="K698" s="149"/>
      <c r="L698" s="149"/>
      <c r="M698" s="149"/>
      <c r="N698" s="149"/>
      <c r="O698" s="149"/>
      <c r="P698" s="149"/>
      <c r="Q698" s="149"/>
      <c r="R698" s="149"/>
      <c r="S698" s="149"/>
      <c r="T698" s="149"/>
      <c r="U698" s="149"/>
      <c r="V698" s="149"/>
      <c r="W698" s="149"/>
      <c r="X698" s="149"/>
      <c r="Y698" s="149"/>
      <c r="Z698" s="149"/>
      <c r="AA698" s="149"/>
      <c r="AB698" s="149"/>
      <c r="AC698" s="149"/>
      <c r="AD698" s="149"/>
      <c r="AE698" s="149"/>
      <c r="AF698" s="149"/>
      <c r="AG698" s="149"/>
      <c r="AH698" s="149"/>
      <c r="AI698" s="149"/>
    </row>
    <row r="699" spans="1:35" ht="36">
      <c r="A699" s="204" t="s">
        <v>49</v>
      </c>
      <c r="B699" s="205">
        <v>12</v>
      </c>
      <c r="C699" s="239" t="s">
        <v>21</v>
      </c>
      <c r="D699" s="206">
        <v>3237</v>
      </c>
      <c r="E699" s="239" t="s">
        <v>62</v>
      </c>
      <c r="F699" s="212" t="s">
        <v>782</v>
      </c>
      <c r="G699" s="883"/>
      <c r="H699" s="879"/>
      <c r="I699" s="880"/>
      <c r="J699" s="149"/>
      <c r="K699" s="149"/>
      <c r="L699" s="149"/>
      <c r="M699" s="149"/>
      <c r="N699" s="149"/>
      <c r="O699" s="149"/>
      <c r="P699" s="149"/>
      <c r="Q699" s="149"/>
      <c r="R699" s="149"/>
      <c r="S699" s="149"/>
      <c r="T699" s="149"/>
      <c r="U699" s="149"/>
      <c r="V699" s="149"/>
      <c r="W699" s="149"/>
      <c r="X699" s="149"/>
      <c r="Y699" s="149"/>
      <c r="Z699" s="149"/>
      <c r="AA699" s="149"/>
      <c r="AB699" s="149"/>
      <c r="AC699" s="149"/>
      <c r="AD699" s="149"/>
      <c r="AE699" s="149"/>
      <c r="AF699" s="149"/>
      <c r="AG699" s="149"/>
      <c r="AH699" s="149"/>
      <c r="AI699" s="149"/>
    </row>
    <row r="700" spans="1:35" ht="36">
      <c r="A700" s="204" t="s">
        <v>49</v>
      </c>
      <c r="B700" s="205">
        <v>12</v>
      </c>
      <c r="C700" s="239" t="s">
        <v>21</v>
      </c>
      <c r="D700" s="206">
        <v>3239</v>
      </c>
      <c r="E700" s="239" t="s">
        <v>66</v>
      </c>
      <c r="F700" s="212" t="s">
        <v>782</v>
      </c>
      <c r="G700" s="883"/>
      <c r="H700" s="879"/>
      <c r="I700" s="880"/>
      <c r="J700" s="149"/>
      <c r="K700" s="149"/>
      <c r="L700" s="149"/>
      <c r="M700" s="149"/>
      <c r="N700" s="149"/>
      <c r="O700" s="149"/>
      <c r="P700" s="149"/>
      <c r="Q700" s="149"/>
      <c r="R700" s="149"/>
      <c r="S700" s="149"/>
      <c r="T700" s="149"/>
      <c r="U700" s="149"/>
      <c r="V700" s="149"/>
      <c r="W700" s="149"/>
      <c r="X700" s="149"/>
      <c r="Y700" s="149"/>
      <c r="Z700" s="149"/>
      <c r="AA700" s="149"/>
      <c r="AB700" s="149"/>
      <c r="AC700" s="149"/>
      <c r="AD700" s="149"/>
      <c r="AE700" s="149"/>
      <c r="AF700" s="149"/>
      <c r="AG700" s="149"/>
      <c r="AH700" s="149"/>
      <c r="AI700" s="149"/>
    </row>
    <row r="701" spans="1:35" ht="36">
      <c r="A701" s="204" t="s">
        <v>49</v>
      </c>
      <c r="B701" s="205">
        <v>12</v>
      </c>
      <c r="C701" s="239" t="s">
        <v>21</v>
      </c>
      <c r="D701" s="206">
        <v>3293</v>
      </c>
      <c r="E701" s="239" t="s">
        <v>68</v>
      </c>
      <c r="F701" s="212" t="s">
        <v>782</v>
      </c>
      <c r="G701" s="883"/>
      <c r="H701" s="879"/>
      <c r="I701" s="880"/>
      <c r="J701" s="149"/>
      <c r="K701" s="149"/>
      <c r="L701" s="149"/>
      <c r="M701" s="149"/>
      <c r="N701" s="149"/>
      <c r="O701" s="149"/>
      <c r="P701" s="149"/>
      <c r="Q701" s="149"/>
      <c r="R701" s="149"/>
      <c r="S701" s="149"/>
      <c r="T701" s="149"/>
      <c r="U701" s="149"/>
      <c r="V701" s="149"/>
      <c r="W701" s="149"/>
      <c r="X701" s="149"/>
      <c r="Y701" s="149"/>
      <c r="Z701" s="149"/>
      <c r="AA701" s="149"/>
      <c r="AB701" s="149"/>
      <c r="AC701" s="149"/>
      <c r="AD701" s="149"/>
      <c r="AE701" s="149"/>
      <c r="AF701" s="149"/>
      <c r="AG701" s="149"/>
      <c r="AH701" s="149"/>
      <c r="AI701" s="149"/>
    </row>
    <row r="702" spans="1:35" ht="36.75" thickBot="1">
      <c r="A702" s="207" t="s">
        <v>49</v>
      </c>
      <c r="B702" s="208">
        <v>12</v>
      </c>
      <c r="C702" s="240" t="s">
        <v>21</v>
      </c>
      <c r="D702" s="209">
        <v>4212</v>
      </c>
      <c r="E702" s="240" t="s">
        <v>58</v>
      </c>
      <c r="F702" s="213" t="s">
        <v>782</v>
      </c>
      <c r="G702" s="883"/>
      <c r="H702" s="879"/>
      <c r="I702" s="880"/>
      <c r="J702" s="149"/>
      <c r="K702" s="149"/>
      <c r="L702" s="149"/>
      <c r="M702" s="149"/>
      <c r="N702" s="149"/>
      <c r="O702" s="149"/>
      <c r="P702" s="149"/>
      <c r="Q702" s="149"/>
      <c r="R702" s="149"/>
      <c r="S702" s="149"/>
      <c r="T702" s="149"/>
      <c r="U702" s="149"/>
      <c r="V702" s="149"/>
      <c r="W702" s="149"/>
      <c r="X702" s="149"/>
      <c r="Y702" s="149"/>
      <c r="Z702" s="149"/>
      <c r="AA702" s="149"/>
      <c r="AB702" s="149"/>
      <c r="AC702" s="149"/>
      <c r="AD702" s="149"/>
      <c r="AE702" s="149"/>
      <c r="AF702" s="149"/>
      <c r="AG702" s="149"/>
      <c r="AH702" s="149"/>
      <c r="AI702" s="149"/>
    </row>
    <row r="703" spans="1:35" ht="36.75" thickBot="1">
      <c r="A703" s="157" t="s">
        <v>49</v>
      </c>
      <c r="B703" s="158">
        <v>12</v>
      </c>
      <c r="C703" s="256" t="s">
        <v>21</v>
      </c>
      <c r="D703" s="158"/>
      <c r="E703" s="229" t="s">
        <v>161</v>
      </c>
      <c r="F703" s="214" t="s">
        <v>782</v>
      </c>
      <c r="G703" s="891">
        <f>G698+G699+G700+G701+G702</f>
        <v>0</v>
      </c>
      <c r="H703" s="891">
        <f t="shared" ref="H703:I703" si="14">H698+H699+H700+H701+H702</f>
        <v>0</v>
      </c>
      <c r="I703" s="892">
        <f t="shared" si="14"/>
        <v>0</v>
      </c>
      <c r="J703" s="149"/>
      <c r="K703" s="149"/>
      <c r="L703" s="149"/>
      <c r="M703" s="149"/>
      <c r="N703" s="149"/>
      <c r="O703" s="149"/>
      <c r="P703" s="149"/>
      <c r="Q703" s="149"/>
      <c r="R703" s="149"/>
      <c r="S703" s="149"/>
      <c r="T703" s="149"/>
      <c r="U703" s="149"/>
      <c r="V703" s="149"/>
      <c r="W703" s="149"/>
      <c r="X703" s="149"/>
      <c r="Y703" s="149"/>
      <c r="Z703" s="149"/>
      <c r="AA703" s="149"/>
      <c r="AB703" s="149"/>
      <c r="AC703" s="149"/>
      <c r="AD703" s="149"/>
      <c r="AE703" s="149"/>
      <c r="AF703" s="149"/>
      <c r="AG703" s="149"/>
      <c r="AH703" s="149"/>
      <c r="AI703" s="149"/>
    </row>
    <row r="704" spans="1:35" ht="36.75" thickBot="1">
      <c r="A704" s="170" t="s">
        <v>49</v>
      </c>
      <c r="B704" s="171">
        <v>12</v>
      </c>
      <c r="C704" s="258" t="s">
        <v>21</v>
      </c>
      <c r="D704" s="171"/>
      <c r="E704" s="235" t="s">
        <v>740</v>
      </c>
      <c r="F704" s="172"/>
      <c r="G704" s="889">
        <f>G628+G697+G703</f>
        <v>0</v>
      </c>
      <c r="H704" s="889">
        <f t="shared" ref="H704:I704" si="15">H628+H697+H703</f>
        <v>0</v>
      </c>
      <c r="I704" s="889">
        <f t="shared" si="15"/>
        <v>0</v>
      </c>
      <c r="J704" s="149"/>
      <c r="K704" s="149"/>
      <c r="L704" s="149"/>
      <c r="M704" s="149"/>
      <c r="N704" s="149"/>
      <c r="O704" s="149"/>
      <c r="P704" s="149"/>
      <c r="Q704" s="149"/>
      <c r="R704" s="149"/>
      <c r="S704" s="149"/>
      <c r="T704" s="149"/>
      <c r="U704" s="149"/>
      <c r="V704" s="149"/>
      <c r="W704" s="149"/>
      <c r="X704" s="149"/>
      <c r="Y704" s="149"/>
      <c r="Z704" s="149"/>
      <c r="AA704" s="149"/>
      <c r="AB704" s="149"/>
      <c r="AC704" s="149"/>
      <c r="AD704" s="149"/>
      <c r="AE704" s="149"/>
      <c r="AF704" s="149"/>
      <c r="AG704" s="149"/>
      <c r="AH704" s="149"/>
      <c r="AI704" s="149"/>
    </row>
    <row r="705" spans="1:35" ht="36">
      <c r="A705" s="146" t="s">
        <v>49</v>
      </c>
      <c r="B705" s="147">
        <v>561</v>
      </c>
      <c r="C705" s="253" t="s">
        <v>38</v>
      </c>
      <c r="D705" s="147">
        <v>3111</v>
      </c>
      <c r="E705" s="226" t="s">
        <v>50</v>
      </c>
      <c r="F705" s="148" t="s">
        <v>690</v>
      </c>
      <c r="G705" s="883"/>
      <c r="H705" s="879"/>
      <c r="I705" s="880"/>
      <c r="J705" s="149"/>
      <c r="K705" s="149"/>
      <c r="L705" s="149"/>
      <c r="M705" s="149"/>
      <c r="N705" s="149"/>
      <c r="O705" s="149"/>
      <c r="P705" s="149"/>
      <c r="Q705" s="149"/>
      <c r="R705" s="149"/>
      <c r="S705" s="149"/>
      <c r="T705" s="149"/>
      <c r="U705" s="149"/>
      <c r="V705" s="149"/>
      <c r="W705" s="149"/>
      <c r="X705" s="149"/>
      <c r="Y705" s="149"/>
      <c r="Z705" s="149"/>
      <c r="AA705" s="149"/>
      <c r="AB705" s="149"/>
      <c r="AC705" s="149"/>
      <c r="AD705" s="149"/>
      <c r="AE705" s="149"/>
      <c r="AF705" s="149"/>
      <c r="AG705" s="149"/>
      <c r="AH705" s="149"/>
      <c r="AI705" s="149"/>
    </row>
    <row r="706" spans="1:35" ht="36">
      <c r="A706" s="146" t="s">
        <v>49</v>
      </c>
      <c r="B706" s="147">
        <v>561</v>
      </c>
      <c r="C706" s="253" t="s">
        <v>38</v>
      </c>
      <c r="D706" s="147">
        <v>3112</v>
      </c>
      <c r="E706" s="226" t="s">
        <v>96</v>
      </c>
      <c r="F706" s="153" t="s">
        <v>690</v>
      </c>
      <c r="G706" s="883"/>
      <c r="H706" s="879"/>
      <c r="I706" s="880"/>
      <c r="J706" s="149"/>
      <c r="K706" s="149"/>
      <c r="L706" s="364"/>
      <c r="M706" s="149"/>
      <c r="N706" s="149"/>
      <c r="O706" s="149"/>
      <c r="P706" s="149"/>
      <c r="Q706" s="149"/>
      <c r="R706" s="149"/>
      <c r="S706" s="149"/>
      <c r="T706" s="149"/>
      <c r="U706" s="149"/>
      <c r="V706" s="149"/>
      <c r="W706" s="149"/>
      <c r="X706" s="149"/>
      <c r="Y706" s="149"/>
      <c r="Z706" s="149"/>
      <c r="AA706" s="149"/>
      <c r="AB706" s="149"/>
      <c r="AC706" s="149"/>
      <c r="AD706" s="149"/>
      <c r="AE706" s="149"/>
      <c r="AF706" s="149"/>
      <c r="AG706" s="149"/>
      <c r="AH706" s="149"/>
      <c r="AI706" s="149"/>
    </row>
    <row r="707" spans="1:35" ht="36">
      <c r="A707" s="146" t="s">
        <v>49</v>
      </c>
      <c r="B707" s="147">
        <v>561</v>
      </c>
      <c r="C707" s="253" t="s">
        <v>38</v>
      </c>
      <c r="D707" s="147">
        <v>3113</v>
      </c>
      <c r="E707" s="226" t="s">
        <v>751</v>
      </c>
      <c r="F707" s="153" t="s">
        <v>690</v>
      </c>
      <c r="G707" s="883"/>
      <c r="H707" s="879"/>
      <c r="I707" s="880"/>
      <c r="J707" s="149"/>
      <c r="K707" s="149"/>
      <c r="L707" s="149"/>
      <c r="M707" s="149"/>
      <c r="N707" s="149"/>
      <c r="O707" s="149"/>
      <c r="P707" s="149"/>
      <c r="Q707" s="149"/>
      <c r="R707" s="149"/>
      <c r="S707" s="149"/>
      <c r="T707" s="149"/>
      <c r="U707" s="149"/>
      <c r="V707" s="149"/>
      <c r="W707" s="149"/>
      <c r="X707" s="149"/>
      <c r="Y707" s="149"/>
      <c r="Z707" s="149"/>
      <c r="AA707" s="149"/>
      <c r="AB707" s="149"/>
      <c r="AC707" s="149"/>
      <c r="AD707" s="149"/>
      <c r="AE707" s="149"/>
      <c r="AF707" s="149"/>
      <c r="AG707" s="149"/>
      <c r="AH707" s="149"/>
      <c r="AI707" s="149"/>
    </row>
    <row r="708" spans="1:35" ht="36">
      <c r="A708" s="146" t="s">
        <v>49</v>
      </c>
      <c r="B708" s="147">
        <v>561</v>
      </c>
      <c r="C708" s="253" t="s">
        <v>38</v>
      </c>
      <c r="D708" s="147">
        <v>3114</v>
      </c>
      <c r="E708" s="226" t="s">
        <v>750</v>
      </c>
      <c r="F708" s="153" t="s">
        <v>690</v>
      </c>
      <c r="G708" s="883"/>
      <c r="H708" s="879"/>
      <c r="I708" s="880"/>
      <c r="J708" s="149"/>
      <c r="K708" s="149"/>
      <c r="L708" s="149"/>
      <c r="M708" s="149"/>
      <c r="N708" s="149"/>
      <c r="O708" s="149"/>
      <c r="P708" s="149"/>
      <c r="Q708" s="149"/>
      <c r="R708" s="149"/>
      <c r="S708" s="149"/>
      <c r="T708" s="149"/>
      <c r="U708" s="149"/>
      <c r="V708" s="149"/>
      <c r="W708" s="149"/>
      <c r="X708" s="149"/>
      <c r="Y708" s="149"/>
      <c r="Z708" s="149"/>
      <c r="AA708" s="149"/>
      <c r="AB708" s="149"/>
      <c r="AC708" s="149"/>
      <c r="AD708" s="149"/>
      <c r="AE708" s="149"/>
      <c r="AF708" s="149"/>
      <c r="AG708" s="149"/>
      <c r="AH708" s="149"/>
      <c r="AI708" s="149"/>
    </row>
    <row r="709" spans="1:35" ht="36">
      <c r="A709" s="146" t="s">
        <v>49</v>
      </c>
      <c r="B709" s="147">
        <v>561</v>
      </c>
      <c r="C709" s="253" t="s">
        <v>38</v>
      </c>
      <c r="D709" s="151">
        <v>3121</v>
      </c>
      <c r="E709" s="227" t="s">
        <v>51</v>
      </c>
      <c r="F709" s="153" t="s">
        <v>690</v>
      </c>
      <c r="G709" s="883"/>
      <c r="H709" s="879"/>
      <c r="I709" s="880"/>
      <c r="J709" s="149"/>
      <c r="K709" s="149"/>
      <c r="L709" s="149"/>
      <c r="M709" s="149"/>
      <c r="N709" s="149"/>
      <c r="O709" s="149"/>
      <c r="P709" s="149"/>
      <c r="Q709" s="149"/>
      <c r="R709" s="149"/>
      <c r="S709" s="149"/>
      <c r="T709" s="149"/>
      <c r="U709" s="149"/>
      <c r="V709" s="149"/>
      <c r="W709" s="149"/>
      <c r="X709" s="149"/>
      <c r="Y709" s="149"/>
      <c r="Z709" s="149"/>
      <c r="AA709" s="149"/>
      <c r="AB709" s="149"/>
      <c r="AC709" s="149"/>
      <c r="AD709" s="149"/>
      <c r="AE709" s="149"/>
      <c r="AF709" s="149"/>
      <c r="AG709" s="149"/>
      <c r="AH709" s="149"/>
      <c r="AI709" s="149"/>
    </row>
    <row r="710" spans="1:35" ht="36">
      <c r="A710" s="146" t="s">
        <v>49</v>
      </c>
      <c r="B710" s="147">
        <v>561</v>
      </c>
      <c r="C710" s="253" t="s">
        <v>38</v>
      </c>
      <c r="D710" s="151">
        <v>3131</v>
      </c>
      <c r="E710" s="227" t="s">
        <v>752</v>
      </c>
      <c r="F710" s="153" t="s">
        <v>690</v>
      </c>
      <c r="G710" s="883"/>
      <c r="H710" s="879"/>
      <c r="I710" s="880"/>
      <c r="J710" s="149"/>
      <c r="K710" s="149"/>
      <c r="L710" s="149"/>
      <c r="M710" s="149"/>
      <c r="N710" s="149"/>
      <c r="O710" s="149"/>
      <c r="P710" s="149"/>
      <c r="Q710" s="149"/>
      <c r="R710" s="149"/>
      <c r="S710" s="149"/>
      <c r="T710" s="149"/>
      <c r="U710" s="149"/>
      <c r="V710" s="149"/>
      <c r="W710" s="149"/>
      <c r="X710" s="149"/>
      <c r="Y710" s="149"/>
      <c r="Z710" s="149"/>
      <c r="AA710" s="149"/>
      <c r="AB710" s="149"/>
      <c r="AC710" s="149"/>
      <c r="AD710" s="149"/>
      <c r="AE710" s="149"/>
      <c r="AF710" s="149"/>
      <c r="AG710" s="149"/>
      <c r="AH710" s="149"/>
      <c r="AI710" s="149"/>
    </row>
    <row r="711" spans="1:35" ht="48">
      <c r="A711" s="146" t="s">
        <v>49</v>
      </c>
      <c r="B711" s="147">
        <v>561</v>
      </c>
      <c r="C711" s="253" t="s">
        <v>38</v>
      </c>
      <c r="D711" s="151">
        <v>3132</v>
      </c>
      <c r="E711" s="227" t="s">
        <v>52</v>
      </c>
      <c r="F711" s="153" t="s">
        <v>690</v>
      </c>
      <c r="G711" s="883"/>
      <c r="H711" s="879"/>
      <c r="I711" s="880"/>
      <c r="J711" s="149"/>
      <c r="K711" s="149"/>
      <c r="L711" s="149"/>
      <c r="M711" s="149"/>
      <c r="N711" s="149"/>
      <c r="O711" s="149"/>
      <c r="P711" s="149"/>
      <c r="Q711" s="149"/>
      <c r="R711" s="149"/>
      <c r="S711" s="149"/>
      <c r="T711" s="149"/>
      <c r="U711" s="149"/>
      <c r="V711" s="149"/>
      <c r="W711" s="149"/>
      <c r="X711" s="149"/>
      <c r="Y711" s="149"/>
      <c r="Z711" s="149"/>
      <c r="AA711" s="149"/>
      <c r="AB711" s="149"/>
      <c r="AC711" s="149"/>
      <c r="AD711" s="149"/>
      <c r="AE711" s="149"/>
      <c r="AF711" s="149"/>
      <c r="AG711" s="149"/>
      <c r="AH711" s="149"/>
      <c r="AI711" s="149"/>
    </row>
    <row r="712" spans="1:35" ht="72">
      <c r="A712" s="146" t="s">
        <v>49</v>
      </c>
      <c r="B712" s="147">
        <v>561</v>
      </c>
      <c r="C712" s="253" t="s">
        <v>38</v>
      </c>
      <c r="D712" s="151">
        <v>3133</v>
      </c>
      <c r="E712" s="227" t="s">
        <v>753</v>
      </c>
      <c r="F712" s="153" t="s">
        <v>690</v>
      </c>
      <c r="G712" s="883"/>
      <c r="H712" s="879"/>
      <c r="I712" s="880"/>
      <c r="J712" s="149"/>
      <c r="K712" s="149"/>
      <c r="L712" s="149"/>
      <c r="M712" s="149"/>
      <c r="N712" s="149"/>
      <c r="O712" s="149"/>
      <c r="P712" s="149"/>
      <c r="Q712" s="149"/>
      <c r="R712" s="149"/>
      <c r="S712" s="149"/>
      <c r="T712" s="149"/>
      <c r="U712" s="149"/>
      <c r="V712" s="149"/>
      <c r="W712" s="149"/>
      <c r="X712" s="149"/>
      <c r="Y712" s="149"/>
      <c r="Z712" s="149"/>
      <c r="AA712" s="149"/>
      <c r="AB712" s="149"/>
      <c r="AC712" s="149"/>
      <c r="AD712" s="149"/>
      <c r="AE712" s="149"/>
      <c r="AF712" s="149"/>
      <c r="AG712" s="149"/>
      <c r="AH712" s="149"/>
      <c r="AI712" s="149"/>
    </row>
    <row r="713" spans="1:35" ht="36">
      <c r="A713" s="146" t="s">
        <v>49</v>
      </c>
      <c r="B713" s="147">
        <v>561</v>
      </c>
      <c r="C713" s="253" t="s">
        <v>38</v>
      </c>
      <c r="D713" s="151">
        <v>3211</v>
      </c>
      <c r="E713" s="227" t="s">
        <v>60</v>
      </c>
      <c r="F713" s="153" t="s">
        <v>690</v>
      </c>
      <c r="G713" s="883"/>
      <c r="H713" s="879"/>
      <c r="I713" s="880"/>
      <c r="J713" s="149"/>
      <c r="K713" s="149"/>
      <c r="L713" s="149"/>
      <c r="M713" s="149"/>
      <c r="N713" s="149"/>
      <c r="O713" s="149"/>
      <c r="P713" s="149"/>
      <c r="Q713" s="149"/>
      <c r="R713" s="149"/>
      <c r="S713" s="149"/>
      <c r="T713" s="149"/>
      <c r="U713" s="149"/>
      <c r="V713" s="149"/>
      <c r="W713" s="149"/>
      <c r="X713" s="149"/>
      <c r="Y713" s="149"/>
      <c r="Z713" s="149"/>
      <c r="AA713" s="149"/>
      <c r="AB713" s="149"/>
      <c r="AC713" s="149"/>
      <c r="AD713" s="149"/>
      <c r="AE713" s="149"/>
      <c r="AF713" s="149"/>
      <c r="AG713" s="149"/>
      <c r="AH713" s="149"/>
      <c r="AI713" s="149"/>
    </row>
    <row r="714" spans="1:35" ht="60">
      <c r="A714" s="146" t="s">
        <v>49</v>
      </c>
      <c r="B714" s="147">
        <v>561</v>
      </c>
      <c r="C714" s="253" t="s">
        <v>38</v>
      </c>
      <c r="D714" s="151">
        <v>3212</v>
      </c>
      <c r="E714" s="227" t="s">
        <v>754</v>
      </c>
      <c r="F714" s="153" t="s">
        <v>690</v>
      </c>
      <c r="G714" s="883"/>
      <c r="H714" s="879"/>
      <c r="I714" s="880"/>
      <c r="J714" s="149"/>
      <c r="K714" s="149"/>
      <c r="L714" s="149"/>
      <c r="M714" s="149"/>
      <c r="N714" s="149"/>
      <c r="O714" s="149"/>
      <c r="P714" s="149"/>
      <c r="Q714" s="149"/>
      <c r="R714" s="149"/>
      <c r="S714" s="149"/>
      <c r="T714" s="149"/>
      <c r="U714" s="149"/>
      <c r="V714" s="149"/>
      <c r="W714" s="149"/>
      <c r="X714" s="149"/>
      <c r="Y714" s="149"/>
      <c r="Z714" s="149"/>
      <c r="AA714" s="149"/>
      <c r="AB714" s="149"/>
      <c r="AC714" s="149"/>
      <c r="AD714" s="149"/>
      <c r="AE714" s="149"/>
      <c r="AF714" s="149"/>
      <c r="AG714" s="149"/>
      <c r="AH714" s="149"/>
      <c r="AI714" s="149"/>
    </row>
    <row r="715" spans="1:35" ht="36">
      <c r="A715" s="146" t="s">
        <v>49</v>
      </c>
      <c r="B715" s="147">
        <v>561</v>
      </c>
      <c r="C715" s="253" t="s">
        <v>38</v>
      </c>
      <c r="D715" s="151">
        <v>3213</v>
      </c>
      <c r="E715" s="227" t="s">
        <v>64</v>
      </c>
      <c r="F715" s="153" t="s">
        <v>690</v>
      </c>
      <c r="G715" s="883"/>
      <c r="H715" s="879"/>
      <c r="I715" s="880"/>
      <c r="J715" s="149"/>
      <c r="K715" s="149"/>
      <c r="L715" s="149"/>
      <c r="M715" s="149"/>
      <c r="N715" s="149"/>
      <c r="O715" s="149"/>
      <c r="P715" s="149"/>
      <c r="Q715" s="149"/>
      <c r="R715" s="149"/>
      <c r="S715" s="149"/>
      <c r="T715" s="149"/>
      <c r="U715" s="149"/>
      <c r="V715" s="149"/>
      <c r="W715" s="149"/>
      <c r="X715" s="149"/>
      <c r="Y715" s="149"/>
      <c r="Z715" s="149"/>
      <c r="AA715" s="149"/>
      <c r="AB715" s="149"/>
      <c r="AC715" s="149"/>
      <c r="AD715" s="149"/>
      <c r="AE715" s="149"/>
      <c r="AF715" s="149"/>
      <c r="AG715" s="149"/>
      <c r="AH715" s="149"/>
      <c r="AI715" s="149"/>
    </row>
    <row r="716" spans="1:35" ht="48">
      <c r="A716" s="146" t="s">
        <v>49</v>
      </c>
      <c r="B716" s="147">
        <v>561</v>
      </c>
      <c r="C716" s="253" t="s">
        <v>38</v>
      </c>
      <c r="D716" s="151">
        <v>3214</v>
      </c>
      <c r="E716" s="227" t="s">
        <v>75</v>
      </c>
      <c r="F716" s="153" t="s">
        <v>690</v>
      </c>
      <c r="G716" s="883"/>
      <c r="H716" s="879"/>
      <c r="I716" s="880"/>
      <c r="J716" s="149"/>
      <c r="K716" s="149"/>
      <c r="L716" s="149"/>
      <c r="M716" s="149"/>
      <c r="N716" s="149"/>
      <c r="O716" s="149"/>
      <c r="P716" s="149"/>
      <c r="Q716" s="149"/>
      <c r="R716" s="149"/>
      <c r="S716" s="149"/>
      <c r="T716" s="149"/>
      <c r="U716" s="149"/>
      <c r="V716" s="149"/>
      <c r="W716" s="149"/>
      <c r="X716" s="149"/>
      <c r="Y716" s="149"/>
      <c r="Z716" s="149"/>
      <c r="AA716" s="149"/>
      <c r="AB716" s="149"/>
      <c r="AC716" s="149"/>
      <c r="AD716" s="149"/>
      <c r="AE716" s="149"/>
      <c r="AF716" s="149"/>
      <c r="AG716" s="149"/>
      <c r="AH716" s="149"/>
      <c r="AI716" s="149"/>
    </row>
    <row r="717" spans="1:35" ht="60">
      <c r="A717" s="146" t="s">
        <v>49</v>
      </c>
      <c r="B717" s="147">
        <v>561</v>
      </c>
      <c r="C717" s="253" t="s">
        <v>38</v>
      </c>
      <c r="D717" s="151">
        <v>3221</v>
      </c>
      <c r="E717" s="227" t="s">
        <v>65</v>
      </c>
      <c r="F717" s="153" t="s">
        <v>690</v>
      </c>
      <c r="G717" s="883"/>
      <c r="H717" s="879"/>
      <c r="I717" s="880"/>
      <c r="J717" s="149"/>
      <c r="K717" s="149"/>
      <c r="L717" s="149"/>
      <c r="M717" s="149"/>
      <c r="N717" s="149"/>
      <c r="O717" s="149"/>
      <c r="P717" s="149"/>
      <c r="Q717" s="149"/>
      <c r="R717" s="149"/>
      <c r="S717" s="149"/>
      <c r="T717" s="149"/>
      <c r="U717" s="149"/>
      <c r="V717" s="149"/>
      <c r="W717" s="149"/>
      <c r="X717" s="149"/>
      <c r="Y717" s="149"/>
      <c r="Z717" s="149"/>
      <c r="AA717" s="149"/>
      <c r="AB717" s="149"/>
      <c r="AC717" s="149"/>
      <c r="AD717" s="149"/>
      <c r="AE717" s="149"/>
      <c r="AF717" s="149"/>
      <c r="AG717" s="149"/>
      <c r="AH717" s="149"/>
      <c r="AI717" s="149"/>
    </row>
    <row r="718" spans="1:35" ht="36">
      <c r="A718" s="146" t="s">
        <v>49</v>
      </c>
      <c r="B718" s="147">
        <v>561</v>
      </c>
      <c r="C718" s="253" t="s">
        <v>38</v>
      </c>
      <c r="D718" s="151">
        <v>3222</v>
      </c>
      <c r="E718" s="227" t="s">
        <v>76</v>
      </c>
      <c r="F718" s="153" t="s">
        <v>690</v>
      </c>
      <c r="G718" s="883"/>
      <c r="H718" s="879"/>
      <c r="I718" s="880"/>
      <c r="J718" s="149"/>
      <c r="K718" s="149"/>
      <c r="L718" s="149"/>
      <c r="M718" s="149"/>
      <c r="N718" s="149"/>
      <c r="O718" s="149"/>
      <c r="P718" s="149"/>
      <c r="Q718" s="149"/>
      <c r="R718" s="149"/>
      <c r="S718" s="149"/>
      <c r="T718" s="149"/>
      <c r="U718" s="149"/>
      <c r="V718" s="149"/>
      <c r="W718" s="149"/>
      <c r="X718" s="149"/>
      <c r="Y718" s="149"/>
      <c r="Z718" s="149"/>
      <c r="AA718" s="149"/>
      <c r="AB718" s="149"/>
      <c r="AC718" s="149"/>
      <c r="AD718" s="149"/>
      <c r="AE718" s="149"/>
      <c r="AF718" s="149"/>
      <c r="AG718" s="149"/>
      <c r="AH718" s="149"/>
      <c r="AI718" s="149"/>
    </row>
    <row r="719" spans="1:35" ht="36">
      <c r="A719" s="146" t="s">
        <v>49</v>
      </c>
      <c r="B719" s="147">
        <v>561</v>
      </c>
      <c r="C719" s="253" t="s">
        <v>38</v>
      </c>
      <c r="D719" s="151">
        <v>3223</v>
      </c>
      <c r="E719" s="227" t="s">
        <v>77</v>
      </c>
      <c r="F719" s="153" t="s">
        <v>690</v>
      </c>
      <c r="G719" s="883"/>
      <c r="H719" s="879"/>
      <c r="I719" s="880"/>
      <c r="J719" s="149"/>
      <c r="K719" s="149"/>
      <c r="L719" s="149"/>
      <c r="M719" s="149"/>
      <c r="N719" s="149"/>
      <c r="O719" s="149"/>
      <c r="P719" s="149"/>
      <c r="Q719" s="149"/>
      <c r="R719" s="149"/>
      <c r="S719" s="149"/>
      <c r="T719" s="149"/>
      <c r="U719" s="149"/>
      <c r="V719" s="149"/>
      <c r="W719" s="149"/>
      <c r="X719" s="149"/>
      <c r="Y719" s="149"/>
      <c r="Z719" s="149"/>
      <c r="AA719" s="149"/>
      <c r="AB719" s="149"/>
      <c r="AC719" s="149"/>
      <c r="AD719" s="149"/>
      <c r="AE719" s="149"/>
      <c r="AF719" s="149"/>
      <c r="AG719" s="149"/>
      <c r="AH719" s="149"/>
      <c r="AI719" s="149"/>
    </row>
    <row r="720" spans="1:35" ht="60">
      <c r="A720" s="146" t="s">
        <v>49</v>
      </c>
      <c r="B720" s="147">
        <v>561</v>
      </c>
      <c r="C720" s="253" t="s">
        <v>38</v>
      </c>
      <c r="D720" s="151">
        <v>3224</v>
      </c>
      <c r="E720" s="227" t="s">
        <v>61</v>
      </c>
      <c r="F720" s="153" t="s">
        <v>690</v>
      </c>
      <c r="G720" s="883"/>
      <c r="H720" s="879"/>
      <c r="I720" s="880"/>
      <c r="J720" s="149"/>
      <c r="K720" s="149"/>
      <c r="L720" s="149"/>
      <c r="M720" s="149"/>
      <c r="N720" s="149"/>
      <c r="O720" s="149"/>
      <c r="P720" s="149"/>
      <c r="Q720" s="149"/>
      <c r="R720" s="149"/>
      <c r="S720" s="149"/>
      <c r="T720" s="149"/>
      <c r="U720" s="149"/>
      <c r="V720" s="149"/>
      <c r="W720" s="149"/>
      <c r="X720" s="149"/>
      <c r="Y720" s="149"/>
      <c r="Z720" s="149"/>
      <c r="AA720" s="149"/>
      <c r="AB720" s="149"/>
      <c r="AC720" s="149"/>
      <c r="AD720" s="149"/>
      <c r="AE720" s="149"/>
      <c r="AF720" s="149"/>
      <c r="AG720" s="149"/>
      <c r="AH720" s="149"/>
      <c r="AI720" s="149"/>
    </row>
    <row r="721" spans="1:35" ht="36">
      <c r="A721" s="146" t="s">
        <v>49</v>
      </c>
      <c r="B721" s="147">
        <v>561</v>
      </c>
      <c r="C721" s="253" t="s">
        <v>38</v>
      </c>
      <c r="D721" s="151">
        <v>3225</v>
      </c>
      <c r="E721" s="227" t="s">
        <v>78</v>
      </c>
      <c r="F721" s="153" t="s">
        <v>690</v>
      </c>
      <c r="G721" s="883"/>
      <c r="H721" s="879"/>
      <c r="I721" s="880"/>
      <c r="J721" s="149"/>
      <c r="K721" s="149"/>
      <c r="L721" s="149"/>
      <c r="M721" s="149"/>
      <c r="N721" s="149"/>
      <c r="O721" s="149"/>
      <c r="P721" s="149"/>
      <c r="Q721" s="149"/>
      <c r="R721" s="149"/>
      <c r="S721" s="149"/>
      <c r="T721" s="149"/>
      <c r="U721" s="149"/>
      <c r="V721" s="149"/>
      <c r="W721" s="149"/>
      <c r="X721" s="149"/>
      <c r="Y721" s="149"/>
      <c r="Z721" s="149"/>
      <c r="AA721" s="149"/>
      <c r="AB721" s="149"/>
      <c r="AC721" s="149"/>
      <c r="AD721" s="149"/>
      <c r="AE721" s="149"/>
      <c r="AF721" s="149"/>
      <c r="AG721" s="149"/>
      <c r="AH721" s="149"/>
      <c r="AI721" s="149"/>
    </row>
    <row r="722" spans="1:35" ht="60">
      <c r="A722" s="146" t="s">
        <v>49</v>
      </c>
      <c r="B722" s="147">
        <v>561</v>
      </c>
      <c r="C722" s="253" t="s">
        <v>38</v>
      </c>
      <c r="D722" s="151">
        <v>3227</v>
      </c>
      <c r="E722" s="227" t="s">
        <v>89</v>
      </c>
      <c r="F722" s="153" t="s">
        <v>690</v>
      </c>
      <c r="G722" s="883"/>
      <c r="H722" s="879"/>
      <c r="I722" s="880"/>
      <c r="J722" s="149"/>
      <c r="K722" s="149"/>
      <c r="L722" s="149"/>
      <c r="M722" s="149"/>
      <c r="N722" s="149"/>
      <c r="O722" s="149"/>
      <c r="P722" s="149"/>
      <c r="Q722" s="149"/>
      <c r="R722" s="149"/>
      <c r="S722" s="149"/>
      <c r="T722" s="149"/>
      <c r="U722" s="149"/>
      <c r="V722" s="149"/>
      <c r="W722" s="149"/>
      <c r="X722" s="149"/>
      <c r="Y722" s="149"/>
      <c r="Z722" s="149"/>
      <c r="AA722" s="149"/>
      <c r="AB722" s="149"/>
      <c r="AC722" s="149"/>
      <c r="AD722" s="149"/>
      <c r="AE722" s="149"/>
      <c r="AF722" s="149"/>
      <c r="AG722" s="149"/>
      <c r="AH722" s="149"/>
      <c r="AI722" s="149"/>
    </row>
    <row r="723" spans="1:35" ht="48">
      <c r="A723" s="146" t="s">
        <v>49</v>
      </c>
      <c r="B723" s="147">
        <v>561</v>
      </c>
      <c r="C723" s="253" t="s">
        <v>38</v>
      </c>
      <c r="D723" s="151">
        <v>3231</v>
      </c>
      <c r="E723" s="227" t="s">
        <v>79</v>
      </c>
      <c r="F723" s="153" t="s">
        <v>690</v>
      </c>
      <c r="G723" s="883"/>
      <c r="H723" s="879"/>
      <c r="I723" s="880"/>
      <c r="J723" s="149"/>
      <c r="K723" s="149"/>
      <c r="L723" s="149"/>
      <c r="M723" s="149"/>
      <c r="N723" s="149"/>
      <c r="O723" s="149"/>
      <c r="P723" s="149"/>
      <c r="Q723" s="149"/>
      <c r="R723" s="149"/>
      <c r="S723" s="149"/>
      <c r="T723" s="149"/>
      <c r="U723" s="149"/>
      <c r="V723" s="149"/>
      <c r="W723" s="149"/>
      <c r="X723" s="149"/>
      <c r="Y723" s="149"/>
      <c r="Z723" s="149"/>
      <c r="AA723" s="149"/>
      <c r="AB723" s="149"/>
      <c r="AC723" s="149"/>
      <c r="AD723" s="149"/>
      <c r="AE723" s="149"/>
      <c r="AF723" s="149"/>
      <c r="AG723" s="149"/>
      <c r="AH723" s="149"/>
      <c r="AI723" s="149"/>
    </row>
    <row r="724" spans="1:35" ht="48">
      <c r="A724" s="146" t="s">
        <v>49</v>
      </c>
      <c r="B724" s="147">
        <v>561</v>
      </c>
      <c r="C724" s="253" t="s">
        <v>38</v>
      </c>
      <c r="D724" s="151">
        <v>3232</v>
      </c>
      <c r="E724" s="227" t="s">
        <v>80</v>
      </c>
      <c r="F724" s="153" t="s">
        <v>690</v>
      </c>
      <c r="G724" s="883"/>
      <c r="H724" s="879"/>
      <c r="I724" s="880"/>
      <c r="J724" s="149"/>
      <c r="K724" s="149"/>
      <c r="L724" s="149"/>
      <c r="M724" s="149"/>
      <c r="N724" s="149"/>
      <c r="O724" s="149"/>
      <c r="P724" s="149"/>
      <c r="Q724" s="149"/>
      <c r="R724" s="149"/>
      <c r="S724" s="149"/>
      <c r="T724" s="149"/>
      <c r="U724" s="149"/>
      <c r="V724" s="149"/>
      <c r="W724" s="149"/>
      <c r="X724" s="149"/>
      <c r="Y724" s="149"/>
      <c r="Z724" s="149"/>
      <c r="AA724" s="149"/>
      <c r="AB724" s="149"/>
      <c r="AC724" s="149"/>
      <c r="AD724" s="149"/>
      <c r="AE724" s="149"/>
      <c r="AF724" s="149"/>
      <c r="AG724" s="149"/>
      <c r="AH724" s="149"/>
      <c r="AI724" s="149"/>
    </row>
    <row r="725" spans="1:35" ht="36">
      <c r="A725" s="146" t="s">
        <v>49</v>
      </c>
      <c r="B725" s="147">
        <v>561</v>
      </c>
      <c r="C725" s="253" t="s">
        <v>38</v>
      </c>
      <c r="D725" s="151">
        <v>3233</v>
      </c>
      <c r="E725" s="227" t="s">
        <v>81</v>
      </c>
      <c r="F725" s="153" t="s">
        <v>690</v>
      </c>
      <c r="G725" s="883"/>
      <c r="H725" s="879"/>
      <c r="I725" s="880"/>
      <c r="J725" s="149"/>
      <c r="K725" s="149"/>
      <c r="L725" s="149"/>
      <c r="M725" s="149"/>
      <c r="N725" s="149"/>
      <c r="O725" s="149"/>
      <c r="P725" s="149"/>
      <c r="Q725" s="149"/>
      <c r="R725" s="149"/>
      <c r="S725" s="149"/>
      <c r="T725" s="149"/>
      <c r="U725" s="149"/>
      <c r="V725" s="149"/>
      <c r="W725" s="149"/>
      <c r="X725" s="149"/>
      <c r="Y725" s="149"/>
      <c r="Z725" s="149"/>
      <c r="AA725" s="149"/>
      <c r="AB725" s="149"/>
      <c r="AC725" s="149"/>
      <c r="AD725" s="149"/>
      <c r="AE725" s="149"/>
      <c r="AF725" s="149"/>
      <c r="AG725" s="149"/>
      <c r="AH725" s="149"/>
      <c r="AI725" s="149"/>
    </row>
    <row r="726" spans="1:35" ht="36">
      <c r="A726" s="146" t="s">
        <v>49</v>
      </c>
      <c r="B726" s="147">
        <v>561</v>
      </c>
      <c r="C726" s="253" t="s">
        <v>38</v>
      </c>
      <c r="D726" s="151">
        <v>3234</v>
      </c>
      <c r="E726" s="227" t="s">
        <v>87</v>
      </c>
      <c r="F726" s="153" t="s">
        <v>690</v>
      </c>
      <c r="G726" s="883"/>
      <c r="H726" s="879"/>
      <c r="I726" s="880"/>
      <c r="J726" s="149"/>
      <c r="K726" s="149"/>
      <c r="L726" s="149"/>
      <c r="M726" s="149"/>
      <c r="N726" s="149"/>
      <c r="O726" s="149"/>
      <c r="P726" s="149"/>
      <c r="Q726" s="149"/>
      <c r="R726" s="149"/>
      <c r="S726" s="149"/>
      <c r="T726" s="149"/>
      <c r="U726" s="149"/>
      <c r="V726" s="149"/>
      <c r="W726" s="149"/>
      <c r="X726" s="149"/>
      <c r="Y726" s="149"/>
      <c r="Z726" s="149"/>
      <c r="AA726" s="149"/>
      <c r="AB726" s="149"/>
      <c r="AC726" s="149"/>
      <c r="AD726" s="149"/>
      <c r="AE726" s="149"/>
      <c r="AF726" s="149"/>
      <c r="AG726" s="149"/>
      <c r="AH726" s="149"/>
      <c r="AI726" s="149"/>
    </row>
    <row r="727" spans="1:35" ht="36">
      <c r="A727" s="146" t="s">
        <v>49</v>
      </c>
      <c r="B727" s="147">
        <v>561</v>
      </c>
      <c r="C727" s="253" t="s">
        <v>38</v>
      </c>
      <c r="D727" s="151">
        <v>3235</v>
      </c>
      <c r="E727" s="227" t="s">
        <v>88</v>
      </c>
      <c r="F727" s="153" t="s">
        <v>690</v>
      </c>
      <c r="G727" s="883"/>
      <c r="H727" s="879"/>
      <c r="I727" s="880"/>
      <c r="J727" s="149"/>
      <c r="K727" s="149"/>
      <c r="L727" s="149"/>
      <c r="M727" s="149"/>
      <c r="N727" s="149"/>
      <c r="O727" s="149"/>
      <c r="P727" s="149"/>
      <c r="Q727" s="149"/>
      <c r="R727" s="149"/>
      <c r="S727" s="149"/>
      <c r="T727" s="149"/>
      <c r="U727" s="149"/>
      <c r="V727" s="149"/>
      <c r="W727" s="149"/>
      <c r="X727" s="149"/>
      <c r="Y727" s="149"/>
      <c r="Z727" s="149"/>
      <c r="AA727" s="149"/>
      <c r="AB727" s="149"/>
      <c r="AC727" s="149"/>
      <c r="AD727" s="149"/>
      <c r="AE727" s="149"/>
      <c r="AF727" s="149"/>
      <c r="AG727" s="149"/>
      <c r="AH727" s="149"/>
      <c r="AI727" s="149"/>
    </row>
    <row r="728" spans="1:35" ht="48">
      <c r="A728" s="146" t="s">
        <v>49</v>
      </c>
      <c r="B728" s="147">
        <v>561</v>
      </c>
      <c r="C728" s="253" t="s">
        <v>38</v>
      </c>
      <c r="D728" s="151">
        <v>3236</v>
      </c>
      <c r="E728" s="227" t="s">
        <v>54</v>
      </c>
      <c r="F728" s="153" t="s">
        <v>690</v>
      </c>
      <c r="G728" s="883"/>
      <c r="H728" s="879"/>
      <c r="I728" s="880"/>
      <c r="J728" s="149"/>
      <c r="K728" s="149"/>
      <c r="L728" s="149"/>
      <c r="M728" s="149"/>
      <c r="N728" s="149"/>
      <c r="O728" s="149"/>
      <c r="P728" s="149"/>
      <c r="Q728" s="149"/>
      <c r="R728" s="149"/>
      <c r="S728" s="149"/>
      <c r="T728" s="149"/>
      <c r="U728" s="149"/>
      <c r="V728" s="149"/>
      <c r="W728" s="149"/>
      <c r="X728" s="149"/>
      <c r="Y728" s="149"/>
      <c r="Z728" s="149"/>
      <c r="AA728" s="149"/>
      <c r="AB728" s="149"/>
      <c r="AC728" s="149"/>
      <c r="AD728" s="149"/>
      <c r="AE728" s="149"/>
      <c r="AF728" s="149"/>
      <c r="AG728" s="149"/>
      <c r="AH728" s="149"/>
      <c r="AI728" s="149"/>
    </row>
    <row r="729" spans="1:35" ht="36">
      <c r="A729" s="146" t="s">
        <v>49</v>
      </c>
      <c r="B729" s="147">
        <v>561</v>
      </c>
      <c r="C729" s="253" t="s">
        <v>38</v>
      </c>
      <c r="D729" s="151">
        <v>3237</v>
      </c>
      <c r="E729" s="227" t="s">
        <v>62</v>
      </c>
      <c r="F729" s="153" t="s">
        <v>690</v>
      </c>
      <c r="G729" s="883"/>
      <c r="H729" s="879"/>
      <c r="I729" s="880"/>
      <c r="J729" s="149"/>
      <c r="K729" s="149"/>
      <c r="L729" s="149"/>
      <c r="M729" s="149"/>
      <c r="N729" s="149"/>
      <c r="O729" s="149"/>
      <c r="P729" s="149"/>
      <c r="Q729" s="149"/>
      <c r="R729" s="149"/>
      <c r="S729" s="149"/>
      <c r="T729" s="149"/>
      <c r="U729" s="149"/>
      <c r="V729" s="149"/>
      <c r="W729" s="149"/>
      <c r="X729" s="149"/>
      <c r="Y729" s="149"/>
      <c r="Z729" s="149"/>
      <c r="AA729" s="149"/>
      <c r="AB729" s="149"/>
      <c r="AC729" s="149"/>
      <c r="AD729" s="149"/>
      <c r="AE729" s="149"/>
      <c r="AF729" s="149"/>
      <c r="AG729" s="149"/>
      <c r="AH729" s="149"/>
      <c r="AI729" s="149"/>
    </row>
    <row r="730" spans="1:35" ht="36">
      <c r="A730" s="146" t="s">
        <v>49</v>
      </c>
      <c r="B730" s="147">
        <v>561</v>
      </c>
      <c r="C730" s="253" t="s">
        <v>38</v>
      </c>
      <c r="D730" s="151">
        <v>3238</v>
      </c>
      <c r="E730" s="227" t="s">
        <v>82</v>
      </c>
      <c r="F730" s="153" t="s">
        <v>690</v>
      </c>
      <c r="G730" s="883"/>
      <c r="H730" s="879"/>
      <c r="I730" s="880"/>
      <c r="J730" s="149"/>
      <c r="K730" s="149"/>
      <c r="L730" s="149"/>
      <c r="M730" s="149"/>
      <c r="N730" s="149"/>
      <c r="O730" s="149"/>
      <c r="P730" s="149"/>
      <c r="Q730" s="149"/>
      <c r="R730" s="149"/>
      <c r="S730" s="149"/>
      <c r="T730" s="149"/>
      <c r="U730" s="149"/>
      <c r="V730" s="149"/>
      <c r="W730" s="149"/>
      <c r="X730" s="149"/>
      <c r="Y730" s="149"/>
      <c r="Z730" s="149"/>
      <c r="AA730" s="149"/>
      <c r="AB730" s="149"/>
      <c r="AC730" s="149"/>
      <c r="AD730" s="149"/>
      <c r="AE730" s="149"/>
      <c r="AF730" s="149"/>
      <c r="AG730" s="149"/>
      <c r="AH730" s="149"/>
      <c r="AI730" s="149"/>
    </row>
    <row r="731" spans="1:35" ht="36">
      <c r="A731" s="146" t="s">
        <v>49</v>
      </c>
      <c r="B731" s="147">
        <v>561</v>
      </c>
      <c r="C731" s="253" t="s">
        <v>38</v>
      </c>
      <c r="D731" s="151">
        <v>3239</v>
      </c>
      <c r="E731" s="227" t="s">
        <v>66</v>
      </c>
      <c r="F731" s="153" t="s">
        <v>690</v>
      </c>
      <c r="G731" s="883"/>
      <c r="H731" s="879"/>
      <c r="I731" s="880"/>
      <c r="J731" s="149"/>
      <c r="K731" s="149"/>
      <c r="L731" s="149"/>
      <c r="M731" s="149"/>
      <c r="N731" s="149"/>
      <c r="O731" s="149"/>
      <c r="P731" s="149"/>
      <c r="Q731" s="149"/>
      <c r="R731" s="149"/>
      <c r="S731" s="149"/>
      <c r="T731" s="149"/>
      <c r="U731" s="149"/>
      <c r="V731" s="149"/>
      <c r="W731" s="149"/>
      <c r="X731" s="149"/>
      <c r="Y731" s="149"/>
      <c r="Z731" s="149"/>
      <c r="AA731" s="149"/>
      <c r="AB731" s="149"/>
      <c r="AC731" s="149"/>
      <c r="AD731" s="149"/>
      <c r="AE731" s="149"/>
      <c r="AF731" s="149"/>
      <c r="AG731" s="149"/>
      <c r="AH731" s="149"/>
      <c r="AI731" s="149"/>
    </row>
    <row r="732" spans="1:35" ht="60">
      <c r="A732" s="146" t="s">
        <v>49</v>
      </c>
      <c r="B732" s="147">
        <v>561</v>
      </c>
      <c r="C732" s="253" t="s">
        <v>38</v>
      </c>
      <c r="D732" s="151">
        <v>3241</v>
      </c>
      <c r="E732" s="227" t="s">
        <v>67</v>
      </c>
      <c r="F732" s="153" t="s">
        <v>690</v>
      </c>
      <c r="G732" s="883"/>
      <c r="H732" s="879"/>
      <c r="I732" s="880"/>
      <c r="J732" s="149"/>
      <c r="K732" s="149"/>
      <c r="L732" s="149"/>
      <c r="M732" s="149"/>
      <c r="N732" s="149"/>
      <c r="O732" s="149"/>
      <c r="P732" s="149"/>
      <c r="Q732" s="149"/>
      <c r="R732" s="149"/>
      <c r="S732" s="149"/>
      <c r="T732" s="149"/>
      <c r="U732" s="149"/>
      <c r="V732" s="149"/>
      <c r="W732" s="149"/>
      <c r="X732" s="149"/>
      <c r="Y732" s="149"/>
      <c r="Z732" s="149"/>
      <c r="AA732" s="149"/>
      <c r="AB732" s="149"/>
      <c r="AC732" s="149"/>
      <c r="AD732" s="149"/>
      <c r="AE732" s="149"/>
      <c r="AF732" s="149"/>
      <c r="AG732" s="149"/>
      <c r="AH732" s="149"/>
      <c r="AI732" s="149"/>
    </row>
    <row r="733" spans="1:35" ht="60">
      <c r="A733" s="146" t="s">
        <v>49</v>
      </c>
      <c r="B733" s="147">
        <v>561</v>
      </c>
      <c r="C733" s="253" t="s">
        <v>38</v>
      </c>
      <c r="D733" s="151">
        <v>3291</v>
      </c>
      <c r="E733" s="227" t="s">
        <v>713</v>
      </c>
      <c r="F733" s="153" t="s">
        <v>690</v>
      </c>
      <c r="G733" s="883"/>
      <c r="H733" s="879"/>
      <c r="I733" s="880"/>
      <c r="J733" s="149"/>
      <c r="K733" s="149"/>
      <c r="L733" s="149"/>
      <c r="M733" s="149"/>
      <c r="N733" s="149"/>
      <c r="O733" s="149"/>
      <c r="P733" s="149"/>
      <c r="Q733" s="149"/>
      <c r="R733" s="149"/>
      <c r="S733" s="149"/>
      <c r="T733" s="149"/>
      <c r="U733" s="149"/>
      <c r="V733" s="149"/>
      <c r="W733" s="149"/>
      <c r="X733" s="149"/>
      <c r="Y733" s="149"/>
      <c r="Z733" s="149"/>
      <c r="AA733" s="149"/>
      <c r="AB733" s="149"/>
      <c r="AC733" s="149"/>
      <c r="AD733" s="149"/>
      <c r="AE733" s="149"/>
      <c r="AF733" s="149"/>
      <c r="AG733" s="149"/>
      <c r="AH733" s="149"/>
      <c r="AI733" s="149"/>
    </row>
    <row r="734" spans="1:35" ht="36">
      <c r="A734" s="146" t="s">
        <v>49</v>
      </c>
      <c r="B734" s="147">
        <v>561</v>
      </c>
      <c r="C734" s="253" t="s">
        <v>38</v>
      </c>
      <c r="D734" s="151">
        <v>3292</v>
      </c>
      <c r="E734" s="227" t="s">
        <v>59</v>
      </c>
      <c r="F734" s="153" t="s">
        <v>690</v>
      </c>
      <c r="G734" s="883"/>
      <c r="H734" s="879"/>
      <c r="I734" s="880"/>
      <c r="J734" s="149"/>
      <c r="K734" s="149"/>
      <c r="L734" s="149"/>
      <c r="M734" s="149"/>
      <c r="N734" s="149"/>
      <c r="O734" s="149"/>
      <c r="P734" s="149"/>
      <c r="Q734" s="149"/>
      <c r="R734" s="149"/>
      <c r="S734" s="149"/>
      <c r="T734" s="149"/>
      <c r="U734" s="149"/>
      <c r="V734" s="149"/>
      <c r="W734" s="149"/>
      <c r="X734" s="149"/>
      <c r="Y734" s="149"/>
      <c r="Z734" s="149"/>
      <c r="AA734" s="149"/>
      <c r="AB734" s="149"/>
      <c r="AC734" s="149"/>
      <c r="AD734" s="149"/>
      <c r="AE734" s="149"/>
      <c r="AF734" s="149"/>
      <c r="AG734" s="149"/>
      <c r="AH734" s="149"/>
      <c r="AI734" s="149"/>
    </row>
    <row r="735" spans="1:35" ht="36">
      <c r="A735" s="146" t="s">
        <v>49</v>
      </c>
      <c r="B735" s="147">
        <v>561</v>
      </c>
      <c r="C735" s="253" t="s">
        <v>38</v>
      </c>
      <c r="D735" s="151">
        <v>3293</v>
      </c>
      <c r="E735" s="227" t="s">
        <v>68</v>
      </c>
      <c r="F735" s="153" t="s">
        <v>690</v>
      </c>
      <c r="G735" s="883"/>
      <c r="H735" s="879"/>
      <c r="I735" s="880"/>
      <c r="J735" s="149"/>
      <c r="K735" s="149"/>
      <c r="L735" s="149"/>
      <c r="M735" s="149"/>
      <c r="N735" s="149"/>
      <c r="O735" s="149"/>
      <c r="P735" s="149"/>
      <c r="Q735" s="149"/>
      <c r="R735" s="149"/>
      <c r="S735" s="149"/>
      <c r="T735" s="149"/>
      <c r="U735" s="149"/>
      <c r="V735" s="149"/>
      <c r="W735" s="149"/>
      <c r="X735" s="149"/>
      <c r="Y735" s="149"/>
      <c r="Z735" s="149"/>
      <c r="AA735" s="149"/>
      <c r="AB735" s="149"/>
      <c r="AC735" s="149"/>
      <c r="AD735" s="149"/>
      <c r="AE735" s="149"/>
      <c r="AF735" s="149"/>
      <c r="AG735" s="149"/>
      <c r="AH735" s="149"/>
      <c r="AI735" s="149"/>
    </row>
    <row r="736" spans="1:35" ht="36">
      <c r="A736" s="146" t="s">
        <v>49</v>
      </c>
      <c r="B736" s="147">
        <v>561</v>
      </c>
      <c r="C736" s="253" t="s">
        <v>38</v>
      </c>
      <c r="D736" s="151">
        <v>3294</v>
      </c>
      <c r="E736" s="227" t="s">
        <v>69</v>
      </c>
      <c r="F736" s="153" t="s">
        <v>690</v>
      </c>
      <c r="G736" s="883"/>
      <c r="H736" s="879"/>
      <c r="I736" s="880"/>
      <c r="J736" s="149"/>
      <c r="K736" s="149"/>
      <c r="L736" s="149"/>
      <c r="M736" s="149"/>
      <c r="N736" s="149"/>
      <c r="O736" s="149"/>
      <c r="P736" s="149"/>
      <c r="Q736" s="149"/>
      <c r="R736" s="149"/>
      <c r="S736" s="149"/>
      <c r="T736" s="149"/>
      <c r="U736" s="149"/>
      <c r="V736" s="149"/>
      <c r="W736" s="149"/>
      <c r="X736" s="149"/>
      <c r="Y736" s="149"/>
      <c r="Z736" s="149"/>
      <c r="AA736" s="149"/>
      <c r="AB736" s="149"/>
      <c r="AC736" s="149"/>
      <c r="AD736" s="149"/>
      <c r="AE736" s="149"/>
      <c r="AF736" s="149"/>
      <c r="AG736" s="149"/>
      <c r="AH736" s="149"/>
      <c r="AI736" s="149"/>
    </row>
    <row r="737" spans="1:35" ht="36">
      <c r="A737" s="146" t="s">
        <v>49</v>
      </c>
      <c r="B737" s="147">
        <v>561</v>
      </c>
      <c r="C737" s="253" t="s">
        <v>38</v>
      </c>
      <c r="D737" s="151">
        <v>3295</v>
      </c>
      <c r="E737" s="227" t="s">
        <v>55</v>
      </c>
      <c r="F737" s="153" t="s">
        <v>690</v>
      </c>
      <c r="G737" s="883"/>
      <c r="H737" s="879"/>
      <c r="I737" s="880"/>
      <c r="J737" s="149"/>
      <c r="K737" s="149"/>
      <c r="L737" s="149"/>
      <c r="M737" s="149"/>
      <c r="N737" s="149"/>
      <c r="O737" s="149"/>
      <c r="P737" s="149"/>
      <c r="Q737" s="149"/>
      <c r="R737" s="149"/>
      <c r="S737" s="149"/>
      <c r="T737" s="149"/>
      <c r="U737" s="149"/>
      <c r="V737" s="149"/>
      <c r="W737" s="149"/>
      <c r="X737" s="149"/>
      <c r="Y737" s="149"/>
      <c r="Z737" s="149"/>
      <c r="AA737" s="149"/>
      <c r="AB737" s="149"/>
      <c r="AC737" s="149"/>
      <c r="AD737" s="149"/>
      <c r="AE737" s="149"/>
      <c r="AF737" s="149"/>
      <c r="AG737" s="149"/>
      <c r="AH737" s="149"/>
      <c r="AI737" s="149"/>
    </row>
    <row r="738" spans="1:35" ht="36">
      <c r="A738" s="146" t="s">
        <v>49</v>
      </c>
      <c r="B738" s="147">
        <v>561</v>
      </c>
      <c r="C738" s="253" t="s">
        <v>38</v>
      </c>
      <c r="D738" s="151">
        <v>3296</v>
      </c>
      <c r="E738" s="227" t="s">
        <v>97</v>
      </c>
      <c r="F738" s="153" t="s">
        <v>690</v>
      </c>
      <c r="G738" s="883"/>
      <c r="H738" s="879"/>
      <c r="I738" s="880"/>
      <c r="J738" s="149"/>
      <c r="K738" s="149"/>
      <c r="L738" s="149"/>
      <c r="M738" s="149"/>
      <c r="N738" s="149"/>
      <c r="O738" s="149"/>
      <c r="P738" s="149"/>
      <c r="Q738" s="149"/>
      <c r="R738" s="149"/>
      <c r="S738" s="149"/>
      <c r="T738" s="149"/>
      <c r="U738" s="149"/>
      <c r="V738" s="149"/>
      <c r="W738" s="149"/>
      <c r="X738" s="149"/>
      <c r="Y738" s="149"/>
      <c r="Z738" s="149"/>
      <c r="AA738" s="149"/>
      <c r="AB738" s="149"/>
      <c r="AC738" s="149"/>
      <c r="AD738" s="149"/>
      <c r="AE738" s="149"/>
      <c r="AF738" s="149"/>
      <c r="AG738" s="149"/>
      <c r="AH738" s="149"/>
      <c r="AI738" s="149"/>
    </row>
    <row r="739" spans="1:35" ht="48">
      <c r="A739" s="146" t="s">
        <v>49</v>
      </c>
      <c r="B739" s="147">
        <v>561</v>
      </c>
      <c r="C739" s="253" t="s">
        <v>38</v>
      </c>
      <c r="D739" s="151">
        <v>3299</v>
      </c>
      <c r="E739" s="227" t="s">
        <v>57</v>
      </c>
      <c r="F739" s="153" t="s">
        <v>690</v>
      </c>
      <c r="G739" s="883"/>
      <c r="H739" s="879"/>
      <c r="I739" s="880"/>
      <c r="J739" s="149"/>
      <c r="K739" s="149"/>
      <c r="L739" s="149"/>
      <c r="M739" s="149"/>
      <c r="N739" s="149"/>
      <c r="O739" s="149"/>
      <c r="P739" s="149"/>
      <c r="Q739" s="149"/>
      <c r="R739" s="149"/>
      <c r="S739" s="149"/>
      <c r="T739" s="149"/>
      <c r="U739" s="149"/>
      <c r="V739" s="149"/>
      <c r="W739" s="149"/>
      <c r="X739" s="149"/>
      <c r="Y739" s="149"/>
      <c r="Z739" s="149"/>
      <c r="AA739" s="149"/>
      <c r="AB739" s="149"/>
      <c r="AC739" s="149"/>
      <c r="AD739" s="149"/>
      <c r="AE739" s="149"/>
      <c r="AF739" s="149"/>
      <c r="AG739" s="149"/>
      <c r="AH739" s="149"/>
      <c r="AI739" s="149"/>
    </row>
    <row r="740" spans="1:35" ht="60">
      <c r="A740" s="146" t="s">
        <v>49</v>
      </c>
      <c r="B740" s="147">
        <v>561</v>
      </c>
      <c r="C740" s="253" t="s">
        <v>38</v>
      </c>
      <c r="D740" s="151">
        <v>3431</v>
      </c>
      <c r="E740" s="227" t="s">
        <v>70</v>
      </c>
      <c r="F740" s="153" t="s">
        <v>690</v>
      </c>
      <c r="G740" s="883"/>
      <c r="H740" s="879"/>
      <c r="I740" s="880"/>
      <c r="J740" s="149"/>
      <c r="K740" s="149"/>
      <c r="L740" s="149"/>
      <c r="M740" s="149"/>
      <c r="N740" s="149"/>
      <c r="O740" s="149"/>
      <c r="P740" s="149"/>
      <c r="Q740" s="149"/>
      <c r="R740" s="149"/>
      <c r="S740" s="149"/>
      <c r="T740" s="149"/>
      <c r="U740" s="149"/>
      <c r="V740" s="149"/>
      <c r="W740" s="149"/>
      <c r="X740" s="149"/>
      <c r="Y740" s="149"/>
      <c r="Z740" s="149"/>
      <c r="AA740" s="149"/>
      <c r="AB740" s="149"/>
      <c r="AC740" s="149"/>
      <c r="AD740" s="149"/>
      <c r="AE740" s="149"/>
      <c r="AF740" s="149"/>
      <c r="AG740" s="149"/>
      <c r="AH740" s="149"/>
      <c r="AI740" s="149"/>
    </row>
    <row r="741" spans="1:35" ht="72">
      <c r="A741" s="146" t="s">
        <v>49</v>
      </c>
      <c r="B741" s="147">
        <v>561</v>
      </c>
      <c r="C741" s="253" t="s">
        <v>38</v>
      </c>
      <c r="D741" s="151">
        <v>3432</v>
      </c>
      <c r="E741" s="227" t="s">
        <v>71</v>
      </c>
      <c r="F741" s="153" t="s">
        <v>690</v>
      </c>
      <c r="G741" s="883"/>
      <c r="H741" s="879"/>
      <c r="I741" s="880"/>
      <c r="J741" s="149"/>
      <c r="K741" s="149"/>
      <c r="L741" s="149"/>
      <c r="M741" s="149"/>
      <c r="N741" s="149"/>
      <c r="O741" s="149"/>
      <c r="P741" s="149"/>
      <c r="Q741" s="149"/>
      <c r="R741" s="149"/>
      <c r="S741" s="149"/>
      <c r="T741" s="149"/>
      <c r="U741" s="149"/>
      <c r="V741" s="149"/>
      <c r="W741" s="149"/>
      <c r="X741" s="149"/>
      <c r="Y741" s="149"/>
      <c r="Z741" s="149"/>
      <c r="AA741" s="149"/>
      <c r="AB741" s="149"/>
      <c r="AC741" s="149"/>
      <c r="AD741" s="149"/>
      <c r="AE741" s="149"/>
      <c r="AF741" s="149"/>
      <c r="AG741" s="149"/>
      <c r="AH741" s="149"/>
      <c r="AI741" s="149"/>
    </row>
    <row r="742" spans="1:35" ht="48">
      <c r="A742" s="146" t="s">
        <v>49</v>
      </c>
      <c r="B742" s="147">
        <v>561</v>
      </c>
      <c r="C742" s="253" t="s">
        <v>38</v>
      </c>
      <c r="D742" s="151">
        <v>3433</v>
      </c>
      <c r="E742" s="227" t="s">
        <v>725</v>
      </c>
      <c r="F742" s="153" t="s">
        <v>690</v>
      </c>
      <c r="G742" s="883"/>
      <c r="H742" s="879"/>
      <c r="I742" s="880"/>
      <c r="J742" s="149"/>
      <c r="K742" s="149"/>
      <c r="L742" s="149"/>
      <c r="M742" s="149"/>
      <c r="N742" s="149"/>
      <c r="O742" s="149"/>
      <c r="P742" s="149"/>
      <c r="Q742" s="149"/>
      <c r="R742" s="149"/>
      <c r="S742" s="149"/>
      <c r="T742" s="149"/>
      <c r="U742" s="149"/>
      <c r="V742" s="149"/>
      <c r="W742" s="149"/>
      <c r="X742" s="149"/>
      <c r="Y742" s="149"/>
      <c r="Z742" s="149"/>
      <c r="AA742" s="149"/>
      <c r="AB742" s="149"/>
      <c r="AC742" s="149"/>
      <c r="AD742" s="149"/>
      <c r="AE742" s="149"/>
      <c r="AF742" s="149"/>
      <c r="AG742" s="149"/>
      <c r="AH742" s="149"/>
      <c r="AI742" s="149"/>
    </row>
    <row r="743" spans="1:35" ht="48">
      <c r="A743" s="146" t="s">
        <v>49</v>
      </c>
      <c r="B743" s="147">
        <v>561</v>
      </c>
      <c r="C743" s="253" t="s">
        <v>38</v>
      </c>
      <c r="D743" s="151">
        <v>3434</v>
      </c>
      <c r="E743" s="227" t="s">
        <v>94</v>
      </c>
      <c r="F743" s="153" t="s">
        <v>690</v>
      </c>
      <c r="G743" s="883"/>
      <c r="H743" s="879"/>
      <c r="I743" s="880"/>
      <c r="J743" s="149"/>
      <c r="K743" s="149"/>
      <c r="L743" s="149"/>
      <c r="M743" s="149"/>
      <c r="N743" s="149"/>
      <c r="O743" s="149"/>
      <c r="P743" s="149"/>
      <c r="Q743" s="149"/>
      <c r="R743" s="149"/>
      <c r="S743" s="149"/>
      <c r="T743" s="149"/>
      <c r="U743" s="149"/>
      <c r="V743" s="149"/>
      <c r="W743" s="149"/>
      <c r="X743" s="149"/>
      <c r="Y743" s="149"/>
      <c r="Z743" s="149"/>
      <c r="AA743" s="149"/>
      <c r="AB743" s="149"/>
      <c r="AC743" s="149"/>
      <c r="AD743" s="149"/>
      <c r="AE743" s="149"/>
      <c r="AF743" s="149"/>
      <c r="AG743" s="149"/>
      <c r="AH743" s="149"/>
      <c r="AI743" s="149"/>
    </row>
    <row r="744" spans="1:35" ht="36">
      <c r="A744" s="146" t="s">
        <v>49</v>
      </c>
      <c r="B744" s="147">
        <v>561</v>
      </c>
      <c r="C744" s="253" t="s">
        <v>38</v>
      </c>
      <c r="D744" s="151">
        <v>3522</v>
      </c>
      <c r="E744" s="227" t="s">
        <v>755</v>
      </c>
      <c r="F744" s="153" t="s">
        <v>690</v>
      </c>
      <c r="G744" s="883"/>
      <c r="H744" s="879"/>
      <c r="I744" s="880"/>
      <c r="J744" s="149"/>
      <c r="K744" s="149"/>
      <c r="L744" s="149"/>
      <c r="M744" s="149"/>
      <c r="N744" s="149"/>
      <c r="O744" s="149"/>
      <c r="P744" s="149"/>
      <c r="Q744" s="149"/>
      <c r="R744" s="149"/>
      <c r="S744" s="149"/>
      <c r="T744" s="149"/>
      <c r="U744" s="149"/>
      <c r="V744" s="149"/>
      <c r="W744" s="149"/>
      <c r="X744" s="149"/>
      <c r="Y744" s="149"/>
      <c r="Z744" s="149"/>
      <c r="AA744" s="149"/>
      <c r="AB744" s="149"/>
      <c r="AC744" s="149"/>
      <c r="AD744" s="149"/>
      <c r="AE744" s="149"/>
      <c r="AF744" s="149"/>
      <c r="AG744" s="149"/>
      <c r="AH744" s="149"/>
      <c r="AI744" s="149"/>
    </row>
    <row r="745" spans="1:35" ht="84">
      <c r="A745" s="146" t="s">
        <v>49</v>
      </c>
      <c r="B745" s="147">
        <v>561</v>
      </c>
      <c r="C745" s="253" t="s">
        <v>38</v>
      </c>
      <c r="D745" s="151">
        <v>3691</v>
      </c>
      <c r="E745" s="227" t="s">
        <v>36</v>
      </c>
      <c r="F745" s="153" t="s">
        <v>690</v>
      </c>
      <c r="G745" s="883"/>
      <c r="H745" s="879"/>
      <c r="I745" s="880"/>
      <c r="J745" s="149"/>
      <c r="K745" s="149"/>
      <c r="L745" s="149"/>
      <c r="M745" s="149"/>
      <c r="N745" s="149"/>
      <c r="O745" s="149"/>
      <c r="P745" s="149"/>
      <c r="Q745" s="149"/>
      <c r="R745" s="149"/>
      <c r="S745" s="149"/>
      <c r="T745" s="149"/>
      <c r="U745" s="149"/>
      <c r="V745" s="149"/>
      <c r="W745" s="149"/>
      <c r="X745" s="149"/>
      <c r="Y745" s="149"/>
      <c r="Z745" s="149"/>
      <c r="AA745" s="149"/>
      <c r="AB745" s="149"/>
      <c r="AC745" s="149"/>
      <c r="AD745" s="149"/>
      <c r="AE745" s="149"/>
      <c r="AF745" s="149"/>
      <c r="AG745" s="149"/>
      <c r="AH745" s="149"/>
      <c r="AI745" s="149"/>
    </row>
    <row r="746" spans="1:35" ht="84">
      <c r="A746" s="150" t="s">
        <v>49</v>
      </c>
      <c r="B746" s="151">
        <v>561</v>
      </c>
      <c r="C746" s="254" t="s">
        <v>38</v>
      </c>
      <c r="D746" s="151">
        <v>3692</v>
      </c>
      <c r="E746" s="227" t="s">
        <v>695</v>
      </c>
      <c r="F746" s="153" t="s">
        <v>690</v>
      </c>
      <c r="G746" s="883"/>
      <c r="H746" s="879"/>
      <c r="I746" s="880"/>
      <c r="J746" s="149"/>
      <c r="K746" s="149"/>
      <c r="L746" s="149"/>
      <c r="M746" s="149"/>
      <c r="N746" s="149"/>
      <c r="O746" s="149"/>
      <c r="P746" s="149"/>
      <c r="Q746" s="149"/>
      <c r="R746" s="149"/>
      <c r="S746" s="149"/>
      <c r="T746" s="149"/>
      <c r="U746" s="149"/>
      <c r="V746" s="149"/>
      <c r="W746" s="149"/>
      <c r="X746" s="149"/>
      <c r="Y746" s="149"/>
      <c r="Z746" s="149"/>
      <c r="AA746" s="149"/>
      <c r="AB746" s="149"/>
      <c r="AC746" s="149"/>
      <c r="AD746" s="149"/>
      <c r="AE746" s="149"/>
      <c r="AF746" s="149"/>
      <c r="AG746" s="149"/>
      <c r="AH746" s="149"/>
      <c r="AI746" s="149"/>
    </row>
    <row r="747" spans="1:35" ht="120">
      <c r="A747" s="856" t="s">
        <v>49</v>
      </c>
      <c r="B747" s="854">
        <v>561</v>
      </c>
      <c r="C747" s="857" t="s">
        <v>38</v>
      </c>
      <c r="D747" s="854">
        <v>3693</v>
      </c>
      <c r="E747" s="855" t="s">
        <v>37</v>
      </c>
      <c r="F747" s="863" t="s">
        <v>690</v>
      </c>
      <c r="G747" s="883"/>
      <c r="H747" s="879"/>
      <c r="I747" s="880"/>
      <c r="J747" s="149"/>
      <c r="K747" s="149"/>
      <c r="L747" s="149"/>
      <c r="M747" s="149"/>
      <c r="N747" s="149"/>
      <c r="O747" s="149"/>
      <c r="P747" s="149"/>
      <c r="Q747" s="149"/>
      <c r="R747" s="149"/>
      <c r="S747" s="149"/>
      <c r="T747" s="149"/>
      <c r="U747" s="149"/>
      <c r="V747" s="149"/>
      <c r="W747" s="149"/>
      <c r="X747" s="149"/>
      <c r="Y747" s="149"/>
      <c r="Z747" s="149"/>
      <c r="AA747" s="149"/>
      <c r="AB747" s="149"/>
      <c r="AC747" s="149"/>
      <c r="AD747" s="149"/>
      <c r="AE747" s="149"/>
      <c r="AF747" s="149"/>
      <c r="AG747" s="149"/>
      <c r="AH747" s="149"/>
      <c r="AI747" s="149"/>
    </row>
    <row r="748" spans="1:35" ht="48">
      <c r="A748" s="150" t="s">
        <v>49</v>
      </c>
      <c r="B748" s="151">
        <v>561</v>
      </c>
      <c r="C748" s="254" t="s">
        <v>38</v>
      </c>
      <c r="D748" s="151">
        <v>3721</v>
      </c>
      <c r="E748" s="227" t="s">
        <v>84</v>
      </c>
      <c r="F748" s="153" t="s">
        <v>690</v>
      </c>
      <c r="G748" s="883"/>
      <c r="H748" s="879"/>
      <c r="I748" s="880"/>
      <c r="J748" s="149"/>
      <c r="K748" s="149"/>
      <c r="L748" s="149"/>
      <c r="M748" s="149"/>
      <c r="N748" s="149"/>
      <c r="O748" s="149"/>
      <c r="P748" s="149"/>
      <c r="Q748" s="149"/>
      <c r="R748" s="149"/>
      <c r="S748" s="149"/>
      <c r="T748" s="149"/>
      <c r="U748" s="149"/>
      <c r="V748" s="149"/>
      <c r="W748" s="149"/>
      <c r="X748" s="149"/>
      <c r="Y748" s="149"/>
      <c r="Z748" s="149"/>
      <c r="AA748" s="149"/>
      <c r="AB748" s="149"/>
      <c r="AC748" s="149"/>
      <c r="AD748" s="149"/>
      <c r="AE748" s="149"/>
      <c r="AF748" s="149"/>
      <c r="AG748" s="149"/>
      <c r="AH748" s="149"/>
      <c r="AI748" s="149"/>
    </row>
    <row r="749" spans="1:35" ht="36">
      <c r="A749" s="150" t="s">
        <v>49</v>
      </c>
      <c r="B749" s="151">
        <v>561</v>
      </c>
      <c r="C749" s="254" t="s">
        <v>38</v>
      </c>
      <c r="D749" s="151">
        <v>3811</v>
      </c>
      <c r="E749" s="227" t="s">
        <v>56</v>
      </c>
      <c r="F749" s="153" t="s">
        <v>690</v>
      </c>
      <c r="G749" s="883"/>
      <c r="H749" s="879"/>
      <c r="I749" s="880"/>
      <c r="J749" s="149"/>
      <c r="K749" s="149"/>
      <c r="L749" s="149"/>
      <c r="M749" s="149"/>
      <c r="N749" s="149"/>
      <c r="O749" s="149"/>
      <c r="P749" s="149"/>
      <c r="Q749" s="149"/>
      <c r="R749" s="149"/>
      <c r="S749" s="149"/>
      <c r="T749" s="149"/>
      <c r="U749" s="149"/>
      <c r="V749" s="149"/>
      <c r="W749" s="149"/>
      <c r="X749" s="149"/>
      <c r="Y749" s="149"/>
      <c r="Z749" s="149"/>
      <c r="AA749" s="149"/>
      <c r="AB749" s="149"/>
      <c r="AC749" s="149"/>
      <c r="AD749" s="149"/>
      <c r="AE749" s="149"/>
      <c r="AF749" s="149"/>
      <c r="AG749" s="149"/>
      <c r="AH749" s="149"/>
      <c r="AI749" s="149"/>
    </row>
    <row r="750" spans="1:35" ht="48">
      <c r="A750" s="150" t="s">
        <v>49</v>
      </c>
      <c r="B750" s="151">
        <v>561</v>
      </c>
      <c r="C750" s="254" t="s">
        <v>38</v>
      </c>
      <c r="D750" s="151">
        <v>383</v>
      </c>
      <c r="E750" s="227" t="s">
        <v>756</v>
      </c>
      <c r="F750" s="153" t="s">
        <v>690</v>
      </c>
      <c r="G750" s="883"/>
      <c r="H750" s="879"/>
      <c r="I750" s="880"/>
      <c r="J750" s="149"/>
      <c r="K750" s="149"/>
      <c r="L750" s="149"/>
      <c r="M750" s="149"/>
      <c r="N750" s="149"/>
      <c r="O750" s="149"/>
      <c r="P750" s="149"/>
      <c r="Q750" s="149"/>
      <c r="R750" s="149"/>
      <c r="S750" s="149"/>
      <c r="T750" s="149"/>
      <c r="U750" s="149"/>
      <c r="V750" s="149"/>
      <c r="W750" s="149"/>
      <c r="X750" s="149"/>
      <c r="Y750" s="149"/>
      <c r="Z750" s="149"/>
      <c r="AA750" s="149"/>
      <c r="AB750" s="149"/>
      <c r="AC750" s="149"/>
      <c r="AD750" s="149"/>
      <c r="AE750" s="149"/>
      <c r="AF750" s="149"/>
      <c r="AG750" s="149"/>
      <c r="AH750" s="149"/>
      <c r="AI750" s="149"/>
    </row>
    <row r="751" spans="1:35" ht="36">
      <c r="A751" s="150" t="s">
        <v>49</v>
      </c>
      <c r="B751" s="151">
        <v>561</v>
      </c>
      <c r="C751" s="254" t="s">
        <v>38</v>
      </c>
      <c r="D751" s="151">
        <v>4123</v>
      </c>
      <c r="E751" s="227" t="s">
        <v>92</v>
      </c>
      <c r="F751" s="153" t="s">
        <v>690</v>
      </c>
      <c r="G751" s="883"/>
      <c r="H751" s="879"/>
      <c r="I751" s="880"/>
      <c r="J751" s="149"/>
      <c r="K751" s="149"/>
      <c r="L751" s="149"/>
      <c r="M751" s="149"/>
      <c r="N751" s="149"/>
      <c r="O751" s="149"/>
      <c r="P751" s="149"/>
      <c r="Q751" s="149"/>
      <c r="R751" s="149"/>
      <c r="S751" s="149"/>
      <c r="T751" s="149"/>
      <c r="U751" s="149"/>
      <c r="V751" s="149"/>
      <c r="W751" s="149"/>
      <c r="X751" s="149"/>
      <c r="Y751" s="149"/>
      <c r="Z751" s="149"/>
      <c r="AA751" s="149"/>
      <c r="AB751" s="149"/>
      <c r="AC751" s="149"/>
      <c r="AD751" s="149"/>
      <c r="AE751" s="149"/>
      <c r="AF751" s="149"/>
      <c r="AG751" s="149"/>
      <c r="AH751" s="149"/>
      <c r="AI751" s="149"/>
    </row>
    <row r="752" spans="1:35" ht="60">
      <c r="A752" s="150" t="s">
        <v>49</v>
      </c>
      <c r="B752" s="151">
        <v>561</v>
      </c>
      <c r="C752" s="254" t="s">
        <v>38</v>
      </c>
      <c r="D752" s="151">
        <v>4124</v>
      </c>
      <c r="E752" s="227" t="s">
        <v>721</v>
      </c>
      <c r="F752" s="153" t="s">
        <v>690</v>
      </c>
      <c r="G752" s="883"/>
      <c r="H752" s="879"/>
      <c r="I752" s="880"/>
      <c r="J752" s="149"/>
      <c r="K752" s="149"/>
      <c r="L752" s="149"/>
      <c r="M752" s="149"/>
      <c r="N752" s="149"/>
      <c r="O752" s="149"/>
      <c r="P752" s="149"/>
      <c r="Q752" s="149"/>
      <c r="R752" s="149"/>
      <c r="S752" s="149"/>
      <c r="T752" s="149"/>
      <c r="U752" s="149"/>
      <c r="V752" s="149"/>
      <c r="W752" s="149"/>
      <c r="X752" s="149"/>
      <c r="Y752" s="149"/>
      <c r="Z752" s="149"/>
      <c r="AA752" s="149"/>
      <c r="AB752" s="149"/>
      <c r="AC752" s="149"/>
      <c r="AD752" s="149"/>
      <c r="AE752" s="149"/>
      <c r="AF752" s="149"/>
      <c r="AG752" s="149"/>
      <c r="AH752" s="149"/>
      <c r="AI752" s="149"/>
    </row>
    <row r="753" spans="1:35" s="166" customFormat="1" ht="36">
      <c r="A753" s="150" t="s">
        <v>49</v>
      </c>
      <c r="B753" s="151">
        <v>561</v>
      </c>
      <c r="C753" s="254" t="s">
        <v>38</v>
      </c>
      <c r="D753" s="151">
        <v>4126</v>
      </c>
      <c r="E753" s="227" t="s">
        <v>757</v>
      </c>
      <c r="F753" s="153" t="s">
        <v>690</v>
      </c>
      <c r="G753" s="883"/>
      <c r="H753" s="879"/>
      <c r="I753" s="880"/>
      <c r="J753" s="165"/>
      <c r="K753" s="165"/>
      <c r="L753" s="165"/>
      <c r="M753" s="165"/>
      <c r="N753" s="165"/>
      <c r="O753" s="165"/>
      <c r="P753" s="165"/>
      <c r="Q753" s="165"/>
      <c r="R753" s="165"/>
      <c r="S753" s="165"/>
      <c r="T753" s="165"/>
      <c r="U753" s="165"/>
      <c r="V753" s="165"/>
      <c r="W753" s="165"/>
      <c r="X753" s="165"/>
      <c r="Y753" s="165"/>
      <c r="Z753" s="165"/>
      <c r="AA753" s="165"/>
      <c r="AB753" s="165"/>
      <c r="AC753" s="165"/>
      <c r="AD753" s="165"/>
      <c r="AE753" s="165"/>
      <c r="AF753" s="165"/>
      <c r="AG753" s="165"/>
      <c r="AH753" s="165"/>
      <c r="AI753" s="165"/>
    </row>
    <row r="754" spans="1:35" ht="36">
      <c r="A754" s="150" t="s">
        <v>49</v>
      </c>
      <c r="B754" s="151">
        <v>561</v>
      </c>
      <c r="C754" s="254" t="s">
        <v>38</v>
      </c>
      <c r="D754" s="151">
        <v>4212</v>
      </c>
      <c r="E754" s="227" t="s">
        <v>58</v>
      </c>
      <c r="F754" s="153" t="s">
        <v>690</v>
      </c>
      <c r="G754" s="883"/>
      <c r="H754" s="879"/>
      <c r="I754" s="880"/>
      <c r="J754" s="149"/>
      <c r="K754" s="149"/>
      <c r="L754" s="149"/>
      <c r="M754" s="149"/>
      <c r="N754" s="149"/>
      <c r="O754" s="149"/>
      <c r="P754" s="149"/>
      <c r="Q754" s="149"/>
      <c r="R754" s="149"/>
      <c r="S754" s="149"/>
      <c r="T754" s="149"/>
      <c r="U754" s="149"/>
      <c r="V754" s="149"/>
      <c r="W754" s="149"/>
      <c r="X754" s="149"/>
      <c r="Y754" s="149"/>
      <c r="Z754" s="149"/>
      <c r="AA754" s="149"/>
      <c r="AB754" s="149"/>
      <c r="AC754" s="149"/>
      <c r="AD754" s="149"/>
      <c r="AE754" s="149"/>
      <c r="AF754" s="149"/>
      <c r="AG754" s="149"/>
      <c r="AH754" s="149"/>
      <c r="AI754" s="149"/>
    </row>
    <row r="755" spans="1:35" ht="60">
      <c r="A755" s="150" t="s">
        <v>49</v>
      </c>
      <c r="B755" s="151">
        <v>561</v>
      </c>
      <c r="C755" s="254" t="s">
        <v>38</v>
      </c>
      <c r="D755" s="151">
        <v>4213</v>
      </c>
      <c r="E755" s="227" t="s">
        <v>758</v>
      </c>
      <c r="F755" s="153" t="s">
        <v>690</v>
      </c>
      <c r="G755" s="883"/>
      <c r="H755" s="879"/>
      <c r="I755" s="880"/>
      <c r="J755" s="149"/>
      <c r="K755" s="149"/>
      <c r="L755" s="149"/>
      <c r="M755" s="149"/>
      <c r="N755" s="149"/>
      <c r="O755" s="149"/>
      <c r="P755" s="149"/>
      <c r="Q755" s="149"/>
      <c r="R755" s="149"/>
      <c r="S755" s="149"/>
      <c r="T755" s="149"/>
      <c r="U755" s="149"/>
      <c r="V755" s="149"/>
      <c r="W755" s="149"/>
      <c r="X755" s="149"/>
      <c r="Y755" s="149"/>
      <c r="Z755" s="149"/>
      <c r="AA755" s="149"/>
      <c r="AB755" s="149"/>
      <c r="AC755" s="149"/>
      <c r="AD755" s="149"/>
      <c r="AE755" s="149"/>
      <c r="AF755" s="149"/>
      <c r="AG755" s="149"/>
      <c r="AH755" s="149"/>
      <c r="AI755" s="149"/>
    </row>
    <row r="756" spans="1:35" ht="36">
      <c r="A756" s="150" t="s">
        <v>49</v>
      </c>
      <c r="B756" s="151">
        <v>561</v>
      </c>
      <c r="C756" s="254" t="s">
        <v>38</v>
      </c>
      <c r="D756" s="151">
        <v>4214</v>
      </c>
      <c r="E756" s="227" t="s">
        <v>719</v>
      </c>
      <c r="F756" s="153" t="s">
        <v>690</v>
      </c>
      <c r="G756" s="883"/>
      <c r="H756" s="879"/>
      <c r="I756" s="880"/>
      <c r="J756" s="149"/>
      <c r="K756" s="149"/>
      <c r="L756" s="149"/>
      <c r="M756" s="149"/>
      <c r="N756" s="149"/>
      <c r="O756" s="149"/>
      <c r="P756" s="149"/>
      <c r="Q756" s="149"/>
      <c r="R756" s="149"/>
      <c r="S756" s="149"/>
      <c r="T756" s="149"/>
      <c r="U756" s="149"/>
      <c r="V756" s="149"/>
      <c r="W756" s="149"/>
      <c r="X756" s="149"/>
      <c r="Y756" s="149"/>
      <c r="Z756" s="149"/>
      <c r="AA756" s="149"/>
      <c r="AB756" s="149"/>
      <c r="AC756" s="149"/>
      <c r="AD756" s="149"/>
      <c r="AE756" s="149"/>
      <c r="AF756" s="149"/>
      <c r="AG756" s="149"/>
      <c r="AH756" s="149"/>
      <c r="AI756" s="149"/>
    </row>
    <row r="757" spans="1:35" ht="36">
      <c r="A757" s="150" t="s">
        <v>49</v>
      </c>
      <c r="B757" s="151">
        <v>561</v>
      </c>
      <c r="C757" s="254" t="s">
        <v>38</v>
      </c>
      <c r="D757" s="151">
        <v>4221</v>
      </c>
      <c r="E757" s="227" t="s">
        <v>63</v>
      </c>
      <c r="F757" s="153" t="s">
        <v>690</v>
      </c>
      <c r="G757" s="883"/>
      <c r="H757" s="879"/>
      <c r="I757" s="880"/>
      <c r="J757" s="149"/>
      <c r="K757" s="149"/>
      <c r="L757" s="149"/>
      <c r="M757" s="149"/>
      <c r="N757" s="149"/>
      <c r="O757" s="149"/>
      <c r="P757" s="149"/>
      <c r="Q757" s="149"/>
      <c r="R757" s="149"/>
      <c r="S757" s="149"/>
      <c r="T757" s="149"/>
      <c r="U757" s="149"/>
      <c r="V757" s="149"/>
      <c r="W757" s="149"/>
      <c r="X757" s="149"/>
      <c r="Y757" s="149"/>
      <c r="Z757" s="149"/>
      <c r="AA757" s="149"/>
      <c r="AB757" s="149"/>
      <c r="AC757" s="149"/>
      <c r="AD757" s="149"/>
      <c r="AE757" s="149"/>
      <c r="AF757" s="149"/>
      <c r="AG757" s="149"/>
      <c r="AH757" s="149"/>
      <c r="AI757" s="149"/>
    </row>
    <row r="758" spans="1:35" ht="36">
      <c r="A758" s="150" t="s">
        <v>49</v>
      </c>
      <c r="B758" s="151">
        <v>561</v>
      </c>
      <c r="C758" s="254" t="s">
        <v>38</v>
      </c>
      <c r="D758" s="151">
        <v>4222</v>
      </c>
      <c r="E758" s="227" t="s">
        <v>72</v>
      </c>
      <c r="F758" s="153" t="s">
        <v>690</v>
      </c>
      <c r="G758" s="883"/>
      <c r="H758" s="879"/>
      <c r="I758" s="880"/>
      <c r="J758" s="149"/>
      <c r="K758" s="149"/>
      <c r="L758" s="149"/>
      <c r="M758" s="149"/>
      <c r="N758" s="149"/>
      <c r="O758" s="149"/>
      <c r="P758" s="149"/>
      <c r="Q758" s="149"/>
      <c r="R758" s="149"/>
      <c r="S758" s="149"/>
      <c r="T758" s="149"/>
      <c r="U758" s="149"/>
      <c r="V758" s="149"/>
      <c r="W758" s="149"/>
      <c r="X758" s="149"/>
      <c r="Y758" s="149"/>
      <c r="Z758" s="149"/>
      <c r="AA758" s="149"/>
      <c r="AB758" s="149"/>
      <c r="AC758" s="149"/>
      <c r="AD758" s="149"/>
      <c r="AE758" s="149"/>
      <c r="AF758" s="149"/>
      <c r="AG758" s="149"/>
      <c r="AH758" s="149"/>
      <c r="AI758" s="149"/>
    </row>
    <row r="759" spans="1:35" ht="36">
      <c r="A759" s="150" t="s">
        <v>49</v>
      </c>
      <c r="B759" s="151">
        <v>561</v>
      </c>
      <c r="C759" s="254" t="s">
        <v>38</v>
      </c>
      <c r="D759" s="151">
        <v>4223</v>
      </c>
      <c r="E759" s="227" t="s">
        <v>90</v>
      </c>
      <c r="F759" s="153" t="s">
        <v>690</v>
      </c>
      <c r="G759" s="883"/>
      <c r="H759" s="879"/>
      <c r="I759" s="880"/>
      <c r="J759" s="149"/>
      <c r="K759" s="149"/>
      <c r="L759" s="149"/>
      <c r="M759" s="149"/>
      <c r="N759" s="149"/>
      <c r="O759" s="149"/>
      <c r="P759" s="149"/>
      <c r="Q759" s="149"/>
      <c r="R759" s="149"/>
      <c r="S759" s="149"/>
      <c r="T759" s="149"/>
      <c r="U759" s="149"/>
      <c r="V759" s="149"/>
      <c r="W759" s="149"/>
      <c r="X759" s="149"/>
      <c r="Y759" s="149"/>
      <c r="Z759" s="149"/>
      <c r="AA759" s="149"/>
      <c r="AB759" s="149"/>
      <c r="AC759" s="149"/>
      <c r="AD759" s="149"/>
      <c r="AE759" s="149"/>
      <c r="AF759" s="149"/>
      <c r="AG759" s="149"/>
      <c r="AH759" s="149"/>
      <c r="AI759" s="149"/>
    </row>
    <row r="760" spans="1:35" ht="36">
      <c r="A760" s="150" t="s">
        <v>49</v>
      </c>
      <c r="B760" s="151">
        <v>561</v>
      </c>
      <c r="C760" s="254" t="s">
        <v>38</v>
      </c>
      <c r="D760" s="151">
        <v>4224</v>
      </c>
      <c r="E760" s="227" t="s">
        <v>73</v>
      </c>
      <c r="F760" s="153" t="s">
        <v>690</v>
      </c>
      <c r="G760" s="883"/>
      <c r="H760" s="879"/>
      <c r="I760" s="880"/>
      <c r="J760" s="149"/>
      <c r="K760" s="149"/>
      <c r="L760" s="149"/>
      <c r="M760" s="149"/>
      <c r="N760" s="149"/>
      <c r="O760" s="149"/>
      <c r="P760" s="149"/>
      <c r="Q760" s="149"/>
      <c r="R760" s="149"/>
      <c r="S760" s="149"/>
      <c r="T760" s="149"/>
      <c r="U760" s="149"/>
      <c r="V760" s="149"/>
      <c r="W760" s="149"/>
      <c r="X760" s="149"/>
      <c r="Y760" s="149"/>
      <c r="Z760" s="149"/>
      <c r="AA760" s="149"/>
      <c r="AB760" s="149"/>
      <c r="AC760" s="149"/>
      <c r="AD760" s="149"/>
      <c r="AE760" s="149"/>
      <c r="AF760" s="149"/>
      <c r="AG760" s="149"/>
      <c r="AH760" s="149"/>
      <c r="AI760" s="149"/>
    </row>
    <row r="761" spans="1:35" ht="36">
      <c r="A761" s="150" t="s">
        <v>49</v>
      </c>
      <c r="B761" s="151">
        <v>561</v>
      </c>
      <c r="C761" s="254" t="s">
        <v>38</v>
      </c>
      <c r="D761" s="151">
        <v>4225</v>
      </c>
      <c r="E761" s="227" t="s">
        <v>85</v>
      </c>
      <c r="F761" s="153" t="s">
        <v>690</v>
      </c>
      <c r="G761" s="883"/>
      <c r="H761" s="879"/>
      <c r="I761" s="880"/>
      <c r="J761" s="149"/>
      <c r="K761" s="149"/>
      <c r="L761" s="149"/>
      <c r="M761" s="149"/>
      <c r="N761" s="149"/>
      <c r="O761" s="149"/>
      <c r="P761" s="149"/>
      <c r="Q761" s="149"/>
      <c r="R761" s="149"/>
      <c r="S761" s="149"/>
      <c r="T761" s="149"/>
      <c r="U761" s="149"/>
      <c r="V761" s="149"/>
      <c r="W761" s="149"/>
      <c r="X761" s="149"/>
      <c r="Y761" s="149"/>
      <c r="Z761" s="149"/>
      <c r="AA761" s="149"/>
      <c r="AB761" s="149"/>
      <c r="AC761" s="149"/>
      <c r="AD761" s="149"/>
      <c r="AE761" s="149"/>
      <c r="AF761" s="149"/>
      <c r="AG761" s="149"/>
      <c r="AH761" s="149"/>
      <c r="AI761" s="149"/>
    </row>
    <row r="762" spans="1:35" ht="36">
      <c r="A762" s="150" t="s">
        <v>49</v>
      </c>
      <c r="B762" s="151">
        <v>561</v>
      </c>
      <c r="C762" s="254" t="s">
        <v>38</v>
      </c>
      <c r="D762" s="151">
        <v>4226</v>
      </c>
      <c r="E762" s="227" t="s">
        <v>716</v>
      </c>
      <c r="F762" s="153" t="s">
        <v>690</v>
      </c>
      <c r="G762" s="883"/>
      <c r="H762" s="879"/>
      <c r="I762" s="880"/>
      <c r="J762" s="149"/>
      <c r="K762" s="149"/>
      <c r="L762" s="149"/>
      <c r="M762" s="149"/>
      <c r="N762" s="149"/>
      <c r="O762" s="149"/>
      <c r="P762" s="149"/>
      <c r="Q762" s="149"/>
      <c r="R762" s="149"/>
      <c r="S762" s="149"/>
      <c r="T762" s="149"/>
      <c r="U762" s="149"/>
      <c r="V762" s="149"/>
      <c r="W762" s="149"/>
      <c r="X762" s="149"/>
      <c r="Y762" s="149"/>
      <c r="Z762" s="149"/>
      <c r="AA762" s="149"/>
      <c r="AB762" s="149"/>
      <c r="AC762" s="149"/>
      <c r="AD762" s="149"/>
      <c r="AE762" s="149"/>
      <c r="AF762" s="149"/>
      <c r="AG762" s="149"/>
      <c r="AH762" s="149"/>
      <c r="AI762" s="149"/>
    </row>
    <row r="763" spans="1:35" ht="60">
      <c r="A763" s="150" t="s">
        <v>49</v>
      </c>
      <c r="B763" s="151">
        <v>561</v>
      </c>
      <c r="C763" s="254" t="s">
        <v>38</v>
      </c>
      <c r="D763" s="151">
        <v>4227</v>
      </c>
      <c r="E763" s="227" t="s">
        <v>93</v>
      </c>
      <c r="F763" s="153" t="s">
        <v>690</v>
      </c>
      <c r="G763" s="883"/>
      <c r="H763" s="879"/>
      <c r="I763" s="880"/>
      <c r="J763" s="149"/>
      <c r="K763" s="149"/>
      <c r="L763" s="149"/>
      <c r="M763" s="149"/>
      <c r="N763" s="149"/>
      <c r="O763" s="149"/>
      <c r="P763" s="149"/>
      <c r="Q763" s="149"/>
      <c r="R763" s="149"/>
      <c r="S763" s="149"/>
      <c r="T763" s="149"/>
      <c r="U763" s="149"/>
      <c r="V763" s="149"/>
      <c r="W763" s="149"/>
      <c r="X763" s="149"/>
      <c r="Y763" s="149"/>
      <c r="Z763" s="149"/>
      <c r="AA763" s="149"/>
      <c r="AB763" s="149"/>
      <c r="AC763" s="149"/>
      <c r="AD763" s="149"/>
      <c r="AE763" s="149"/>
      <c r="AF763" s="149"/>
      <c r="AG763" s="149"/>
      <c r="AH763" s="149"/>
      <c r="AI763" s="149"/>
    </row>
    <row r="764" spans="1:35" ht="48">
      <c r="A764" s="150" t="s">
        <v>49</v>
      </c>
      <c r="B764" s="151">
        <v>561</v>
      </c>
      <c r="C764" s="254" t="s">
        <v>38</v>
      </c>
      <c r="D764" s="151">
        <v>4231</v>
      </c>
      <c r="E764" s="227" t="s">
        <v>98</v>
      </c>
      <c r="F764" s="153" t="s">
        <v>690</v>
      </c>
      <c r="G764" s="883"/>
      <c r="H764" s="879"/>
      <c r="I764" s="880"/>
      <c r="J764" s="149"/>
      <c r="K764" s="149"/>
      <c r="L764" s="149"/>
      <c r="M764" s="149"/>
      <c r="N764" s="149"/>
      <c r="O764" s="149"/>
      <c r="P764" s="149"/>
      <c r="Q764" s="149"/>
      <c r="R764" s="149"/>
      <c r="S764" s="149"/>
      <c r="T764" s="149"/>
      <c r="U764" s="149"/>
      <c r="V764" s="149"/>
      <c r="W764" s="149"/>
      <c r="X764" s="149"/>
      <c r="Y764" s="149"/>
      <c r="Z764" s="149"/>
      <c r="AA764" s="149"/>
      <c r="AB764" s="149"/>
      <c r="AC764" s="149"/>
      <c r="AD764" s="149"/>
      <c r="AE764" s="149"/>
      <c r="AF764" s="149"/>
      <c r="AG764" s="149"/>
      <c r="AH764" s="149"/>
      <c r="AI764" s="149"/>
    </row>
    <row r="765" spans="1:35" ht="60">
      <c r="A765" s="150" t="s">
        <v>49</v>
      </c>
      <c r="B765" s="151">
        <v>561</v>
      </c>
      <c r="C765" s="254" t="s">
        <v>38</v>
      </c>
      <c r="D765" s="151">
        <v>4233</v>
      </c>
      <c r="E765" s="227" t="s">
        <v>759</v>
      </c>
      <c r="F765" s="153" t="s">
        <v>690</v>
      </c>
      <c r="G765" s="883"/>
      <c r="H765" s="879"/>
      <c r="I765" s="880"/>
      <c r="J765" s="149"/>
      <c r="K765" s="149"/>
      <c r="L765" s="149"/>
      <c r="M765" s="149"/>
      <c r="N765" s="149"/>
      <c r="O765" s="149"/>
      <c r="P765" s="149"/>
      <c r="Q765" s="149"/>
      <c r="R765" s="149"/>
      <c r="S765" s="149"/>
      <c r="T765" s="149"/>
      <c r="U765" s="149"/>
      <c r="V765" s="149"/>
      <c r="W765" s="149"/>
      <c r="X765" s="149"/>
      <c r="Y765" s="149"/>
      <c r="Z765" s="149"/>
      <c r="AA765" s="149"/>
      <c r="AB765" s="149"/>
      <c r="AC765" s="149"/>
      <c r="AD765" s="149"/>
      <c r="AE765" s="149"/>
      <c r="AF765" s="149"/>
      <c r="AG765" s="149"/>
      <c r="AH765" s="149"/>
      <c r="AI765" s="149"/>
    </row>
    <row r="766" spans="1:35" ht="36">
      <c r="A766" s="150" t="s">
        <v>49</v>
      </c>
      <c r="B766" s="151">
        <v>561</v>
      </c>
      <c r="C766" s="254" t="s">
        <v>38</v>
      </c>
      <c r="D766" s="151">
        <v>4241</v>
      </c>
      <c r="E766" s="227" t="s">
        <v>74</v>
      </c>
      <c r="F766" s="153" t="s">
        <v>690</v>
      </c>
      <c r="G766" s="883"/>
      <c r="H766" s="879"/>
      <c r="I766" s="880"/>
      <c r="J766" s="149"/>
      <c r="K766" s="149"/>
      <c r="L766" s="149"/>
      <c r="M766" s="149"/>
      <c r="N766" s="149"/>
      <c r="O766" s="149"/>
      <c r="P766" s="149"/>
      <c r="Q766" s="149"/>
      <c r="R766" s="149"/>
      <c r="S766" s="149"/>
      <c r="T766" s="149"/>
      <c r="U766" s="149"/>
      <c r="V766" s="149"/>
      <c r="W766" s="149"/>
      <c r="X766" s="149"/>
      <c r="Y766" s="149"/>
      <c r="Z766" s="149"/>
      <c r="AA766" s="149"/>
      <c r="AB766" s="149"/>
      <c r="AC766" s="149"/>
      <c r="AD766" s="149"/>
      <c r="AE766" s="149"/>
      <c r="AF766" s="149"/>
      <c r="AG766" s="149"/>
      <c r="AH766" s="149"/>
      <c r="AI766" s="149"/>
    </row>
    <row r="767" spans="1:35" ht="48">
      <c r="A767" s="150" t="s">
        <v>49</v>
      </c>
      <c r="B767" s="151">
        <v>561</v>
      </c>
      <c r="C767" s="254" t="s">
        <v>38</v>
      </c>
      <c r="D767" s="151">
        <v>4244</v>
      </c>
      <c r="E767" s="227" t="s">
        <v>760</v>
      </c>
      <c r="F767" s="153" t="s">
        <v>690</v>
      </c>
      <c r="G767" s="883"/>
      <c r="H767" s="879"/>
      <c r="I767" s="880"/>
      <c r="J767" s="149"/>
      <c r="K767" s="149"/>
      <c r="L767" s="149"/>
      <c r="M767" s="149"/>
      <c r="N767" s="149"/>
      <c r="O767" s="149"/>
      <c r="P767" s="149"/>
      <c r="Q767" s="149"/>
      <c r="R767" s="149"/>
      <c r="S767" s="149"/>
      <c r="T767" s="149"/>
      <c r="U767" s="149"/>
      <c r="V767" s="149"/>
      <c r="W767" s="149"/>
      <c r="X767" s="149"/>
      <c r="Y767" s="149"/>
      <c r="Z767" s="149"/>
      <c r="AA767" s="149"/>
      <c r="AB767" s="149"/>
      <c r="AC767" s="149"/>
      <c r="AD767" s="149"/>
      <c r="AE767" s="149"/>
      <c r="AF767" s="149"/>
      <c r="AG767" s="149"/>
      <c r="AH767" s="149"/>
      <c r="AI767" s="149"/>
    </row>
    <row r="768" spans="1:35" ht="36">
      <c r="A768" s="150" t="s">
        <v>49</v>
      </c>
      <c r="B768" s="151">
        <v>561</v>
      </c>
      <c r="C768" s="254" t="s">
        <v>38</v>
      </c>
      <c r="D768" s="151">
        <v>4262</v>
      </c>
      <c r="E768" s="227" t="s">
        <v>86</v>
      </c>
      <c r="F768" s="153" t="s">
        <v>690</v>
      </c>
      <c r="G768" s="883"/>
      <c r="H768" s="879"/>
      <c r="I768" s="880"/>
      <c r="J768" s="149"/>
      <c r="K768" s="149"/>
      <c r="L768" s="149"/>
      <c r="M768" s="149"/>
      <c r="N768" s="149"/>
      <c r="O768" s="149"/>
      <c r="P768" s="149"/>
      <c r="Q768" s="149"/>
      <c r="R768" s="149"/>
      <c r="S768" s="149"/>
      <c r="T768" s="149"/>
      <c r="U768" s="149"/>
      <c r="V768" s="149"/>
      <c r="W768" s="149"/>
      <c r="X768" s="149"/>
      <c r="Y768" s="149"/>
      <c r="Z768" s="149"/>
      <c r="AA768" s="149"/>
      <c r="AB768" s="149"/>
      <c r="AC768" s="149"/>
      <c r="AD768" s="149"/>
      <c r="AE768" s="149"/>
      <c r="AF768" s="149"/>
      <c r="AG768" s="149"/>
      <c r="AH768" s="149"/>
      <c r="AI768" s="149"/>
    </row>
    <row r="769" spans="1:35" ht="60">
      <c r="A769" s="150" t="s">
        <v>49</v>
      </c>
      <c r="B769" s="151">
        <v>561</v>
      </c>
      <c r="C769" s="254" t="s">
        <v>38</v>
      </c>
      <c r="D769" s="151">
        <v>4264</v>
      </c>
      <c r="E769" s="227" t="s">
        <v>761</v>
      </c>
      <c r="F769" s="153" t="s">
        <v>690</v>
      </c>
      <c r="G769" s="883"/>
      <c r="H769" s="879"/>
      <c r="I769" s="880"/>
      <c r="J769" s="149"/>
      <c r="K769" s="149"/>
      <c r="L769" s="149"/>
      <c r="M769" s="149"/>
      <c r="N769" s="149"/>
      <c r="O769" s="149"/>
      <c r="P769" s="149"/>
      <c r="Q769" s="149"/>
      <c r="R769" s="149"/>
      <c r="S769" s="149"/>
      <c r="T769" s="149"/>
      <c r="U769" s="149"/>
      <c r="V769" s="149"/>
      <c r="W769" s="149"/>
      <c r="X769" s="149"/>
      <c r="Y769" s="149"/>
      <c r="Z769" s="149"/>
      <c r="AA769" s="149"/>
      <c r="AB769" s="149"/>
      <c r="AC769" s="149"/>
      <c r="AD769" s="149"/>
      <c r="AE769" s="149"/>
      <c r="AF769" s="149"/>
      <c r="AG769" s="149"/>
      <c r="AH769" s="149"/>
      <c r="AI769" s="149"/>
    </row>
    <row r="770" spans="1:35" ht="60">
      <c r="A770" s="150" t="s">
        <v>49</v>
      </c>
      <c r="B770" s="151">
        <v>561</v>
      </c>
      <c r="C770" s="254" t="s">
        <v>38</v>
      </c>
      <c r="D770" s="151">
        <v>4312</v>
      </c>
      <c r="E770" s="227" t="s">
        <v>684</v>
      </c>
      <c r="F770" s="153" t="s">
        <v>690</v>
      </c>
      <c r="G770" s="883"/>
      <c r="H770" s="879"/>
      <c r="I770" s="880"/>
      <c r="J770" s="149"/>
      <c r="K770" s="149"/>
      <c r="L770" s="149"/>
      <c r="M770" s="149"/>
      <c r="N770" s="149"/>
      <c r="O770" s="149"/>
      <c r="P770" s="149"/>
      <c r="Q770" s="149"/>
      <c r="R770" s="149"/>
      <c r="S770" s="149"/>
      <c r="T770" s="149"/>
      <c r="U770" s="149"/>
      <c r="V770" s="149"/>
      <c r="W770" s="149"/>
      <c r="X770" s="149"/>
      <c r="Y770" s="149"/>
      <c r="Z770" s="149"/>
      <c r="AA770" s="149"/>
      <c r="AB770" s="149"/>
      <c r="AC770" s="149"/>
      <c r="AD770" s="149"/>
      <c r="AE770" s="149"/>
      <c r="AF770" s="149"/>
      <c r="AG770" s="149"/>
      <c r="AH770" s="149"/>
      <c r="AI770" s="149"/>
    </row>
    <row r="771" spans="1:35" ht="48">
      <c r="A771" s="150" t="s">
        <v>49</v>
      </c>
      <c r="B771" s="151">
        <v>561</v>
      </c>
      <c r="C771" s="254" t="s">
        <v>38</v>
      </c>
      <c r="D771" s="155">
        <v>4511</v>
      </c>
      <c r="E771" s="228" t="s">
        <v>91</v>
      </c>
      <c r="F771" s="153" t="s">
        <v>690</v>
      </c>
      <c r="G771" s="883"/>
      <c r="H771" s="879"/>
      <c r="I771" s="880"/>
      <c r="J771" s="149"/>
      <c r="K771" s="149"/>
      <c r="L771" s="149"/>
      <c r="M771" s="149"/>
      <c r="N771" s="149"/>
      <c r="O771" s="149"/>
      <c r="P771" s="149"/>
      <c r="Q771" s="149"/>
      <c r="R771" s="149"/>
      <c r="S771" s="149"/>
      <c r="T771" s="149"/>
      <c r="U771" s="149"/>
      <c r="V771" s="149"/>
      <c r="W771" s="149"/>
      <c r="X771" s="149"/>
      <c r="Y771" s="149"/>
      <c r="Z771" s="149"/>
      <c r="AA771" s="149"/>
      <c r="AB771" s="149"/>
      <c r="AC771" s="149"/>
      <c r="AD771" s="149"/>
      <c r="AE771" s="149"/>
      <c r="AF771" s="149"/>
      <c r="AG771" s="149"/>
      <c r="AH771" s="149"/>
      <c r="AI771" s="149"/>
    </row>
    <row r="772" spans="1:35" ht="48.75" thickBot="1">
      <c r="A772" s="154" t="s">
        <v>49</v>
      </c>
      <c r="B772" s="155">
        <v>561</v>
      </c>
      <c r="C772" s="255" t="s">
        <v>38</v>
      </c>
      <c r="D772" s="155">
        <v>4521</v>
      </c>
      <c r="E772" s="228" t="s">
        <v>95</v>
      </c>
      <c r="F772" s="156" t="s">
        <v>690</v>
      </c>
      <c r="G772" s="883"/>
      <c r="H772" s="879"/>
      <c r="I772" s="880"/>
      <c r="J772" s="149"/>
      <c r="K772" s="149"/>
      <c r="L772" s="149"/>
      <c r="M772" s="149"/>
      <c r="N772" s="149"/>
      <c r="O772" s="149"/>
      <c r="P772" s="149"/>
      <c r="Q772" s="149"/>
      <c r="R772" s="149"/>
      <c r="S772" s="149"/>
      <c r="T772" s="149"/>
      <c r="U772" s="149"/>
      <c r="V772" s="149"/>
      <c r="W772" s="149"/>
      <c r="X772" s="149"/>
      <c r="Y772" s="149"/>
      <c r="Z772" s="149"/>
      <c r="AA772" s="149"/>
      <c r="AB772" s="149"/>
      <c r="AC772" s="149"/>
      <c r="AD772" s="149"/>
      <c r="AE772" s="149"/>
      <c r="AF772" s="149"/>
      <c r="AG772" s="149"/>
      <c r="AH772" s="149"/>
      <c r="AI772" s="149"/>
    </row>
    <row r="773" spans="1:35" ht="36.75" thickBot="1">
      <c r="A773" s="162" t="s">
        <v>49</v>
      </c>
      <c r="B773" s="163">
        <v>561</v>
      </c>
      <c r="C773" s="243" t="s">
        <v>38</v>
      </c>
      <c r="D773" s="163"/>
      <c r="E773" s="230" t="s">
        <v>741</v>
      </c>
      <c r="F773" s="164" t="s">
        <v>690</v>
      </c>
      <c r="G773" s="878">
        <f>SUM(G705:G772)</f>
        <v>0</v>
      </c>
      <c r="H773" s="884">
        <f>SUM(H705:H772)</f>
        <v>0</v>
      </c>
      <c r="I773" s="890">
        <f>SUM(I705:I772)</f>
        <v>0</v>
      </c>
      <c r="J773" s="149"/>
      <c r="K773" s="149"/>
      <c r="L773" s="149"/>
      <c r="M773" s="149"/>
      <c r="N773" s="149"/>
      <c r="O773" s="149"/>
      <c r="P773" s="149"/>
      <c r="Q773" s="149"/>
      <c r="R773" s="149"/>
      <c r="S773" s="149"/>
      <c r="T773" s="149"/>
      <c r="U773" s="149"/>
      <c r="V773" s="149"/>
      <c r="W773" s="149"/>
      <c r="X773" s="149"/>
      <c r="Y773" s="149"/>
      <c r="Z773" s="149"/>
      <c r="AA773" s="149"/>
      <c r="AB773" s="149"/>
      <c r="AC773" s="149"/>
      <c r="AD773" s="149"/>
      <c r="AE773" s="149"/>
      <c r="AF773" s="149"/>
      <c r="AG773" s="149"/>
      <c r="AH773" s="149"/>
      <c r="AI773" s="149"/>
    </row>
    <row r="774" spans="1:35" ht="48">
      <c r="A774" s="204" t="s">
        <v>49</v>
      </c>
      <c r="B774" s="147">
        <v>563</v>
      </c>
      <c r="C774" s="253" t="s">
        <v>39</v>
      </c>
      <c r="D774" s="205">
        <v>3233</v>
      </c>
      <c r="E774" s="238" t="s">
        <v>81</v>
      </c>
      <c r="F774" s="211" t="s">
        <v>782</v>
      </c>
      <c r="G774" s="883"/>
      <c r="H774" s="879"/>
      <c r="I774" s="880"/>
      <c r="J774" s="149"/>
      <c r="K774" s="149"/>
      <c r="L774" s="149"/>
      <c r="M774" s="149"/>
      <c r="N774" s="149"/>
      <c r="O774" s="149"/>
      <c r="P774" s="149"/>
      <c r="Q774" s="149"/>
      <c r="R774" s="149"/>
      <c r="S774" s="149"/>
      <c r="T774" s="149"/>
      <c r="U774" s="149"/>
      <c r="V774" s="149"/>
      <c r="W774" s="149"/>
      <c r="X774" s="149"/>
      <c r="Y774" s="149"/>
      <c r="Z774" s="149"/>
      <c r="AA774" s="149"/>
      <c r="AB774" s="149"/>
      <c r="AC774" s="149"/>
      <c r="AD774" s="149"/>
      <c r="AE774" s="149"/>
      <c r="AF774" s="149"/>
      <c r="AG774" s="149"/>
      <c r="AH774" s="149"/>
      <c r="AI774" s="149"/>
    </row>
    <row r="775" spans="1:35" ht="48">
      <c r="A775" s="204" t="s">
        <v>49</v>
      </c>
      <c r="B775" s="147">
        <v>563</v>
      </c>
      <c r="C775" s="253" t="s">
        <v>39</v>
      </c>
      <c r="D775" s="206">
        <v>3237</v>
      </c>
      <c r="E775" s="239" t="s">
        <v>62</v>
      </c>
      <c r="F775" s="212" t="s">
        <v>782</v>
      </c>
      <c r="G775" s="883"/>
      <c r="H775" s="879"/>
      <c r="I775" s="880"/>
      <c r="J775" s="149"/>
      <c r="K775" s="149"/>
      <c r="L775" s="149"/>
      <c r="M775" s="149"/>
      <c r="N775" s="149"/>
      <c r="O775" s="149"/>
      <c r="P775" s="149"/>
      <c r="Q775" s="149"/>
      <c r="R775" s="149"/>
      <c r="S775" s="149"/>
      <c r="T775" s="149"/>
      <c r="U775" s="149"/>
      <c r="V775" s="149"/>
      <c r="W775" s="149"/>
      <c r="X775" s="149"/>
      <c r="Y775" s="149"/>
      <c r="Z775" s="149"/>
      <c r="AA775" s="149"/>
      <c r="AB775" s="149"/>
      <c r="AC775" s="149"/>
      <c r="AD775" s="149"/>
      <c r="AE775" s="149"/>
      <c r="AF775" s="149"/>
      <c r="AG775" s="149"/>
      <c r="AH775" s="149"/>
      <c r="AI775" s="149"/>
    </row>
    <row r="776" spans="1:35" ht="48">
      <c r="A776" s="204" t="s">
        <v>49</v>
      </c>
      <c r="B776" s="147">
        <v>563</v>
      </c>
      <c r="C776" s="253" t="s">
        <v>39</v>
      </c>
      <c r="D776" s="206">
        <v>3239</v>
      </c>
      <c r="E776" s="239" t="s">
        <v>66</v>
      </c>
      <c r="F776" s="212" t="s">
        <v>782</v>
      </c>
      <c r="G776" s="883"/>
      <c r="H776" s="879"/>
      <c r="I776" s="880"/>
      <c r="J776" s="149"/>
      <c r="K776" s="149"/>
      <c r="L776" s="149"/>
      <c r="M776" s="149"/>
      <c r="N776" s="149"/>
      <c r="O776" s="149"/>
      <c r="P776" s="149"/>
      <c r="Q776" s="149"/>
      <c r="R776" s="149"/>
      <c r="S776" s="149"/>
      <c r="T776" s="149"/>
      <c r="U776" s="149"/>
      <c r="V776" s="149"/>
      <c r="W776" s="149"/>
      <c r="X776" s="149"/>
      <c r="Y776" s="149"/>
      <c r="Z776" s="149"/>
      <c r="AA776" s="149"/>
      <c r="AB776" s="149"/>
      <c r="AC776" s="149"/>
      <c r="AD776" s="149"/>
      <c r="AE776" s="149"/>
      <c r="AF776" s="149"/>
      <c r="AG776" s="149"/>
      <c r="AH776" s="149"/>
      <c r="AI776" s="149"/>
    </row>
    <row r="777" spans="1:35" ht="48">
      <c r="A777" s="204" t="s">
        <v>49</v>
      </c>
      <c r="B777" s="147">
        <v>563</v>
      </c>
      <c r="C777" s="253" t="s">
        <v>39</v>
      </c>
      <c r="D777" s="206">
        <v>3293</v>
      </c>
      <c r="E777" s="239" t="s">
        <v>68</v>
      </c>
      <c r="F777" s="212" t="s">
        <v>782</v>
      </c>
      <c r="G777" s="883"/>
      <c r="H777" s="879"/>
      <c r="I777" s="880"/>
      <c r="J777" s="149"/>
      <c r="K777" s="149"/>
      <c r="L777" s="149"/>
      <c r="M777" s="149"/>
      <c r="N777" s="149"/>
      <c r="O777" s="149"/>
      <c r="P777" s="149"/>
      <c r="Q777" s="149"/>
      <c r="R777" s="149"/>
      <c r="S777" s="149"/>
      <c r="T777" s="149"/>
      <c r="U777" s="149"/>
      <c r="V777" s="149"/>
      <c r="W777" s="149"/>
      <c r="X777" s="149"/>
      <c r="Y777" s="149"/>
      <c r="Z777" s="149"/>
      <c r="AA777" s="149"/>
      <c r="AB777" s="149"/>
      <c r="AC777" s="149"/>
      <c r="AD777" s="149"/>
      <c r="AE777" s="149"/>
      <c r="AF777" s="149"/>
      <c r="AG777" s="149"/>
      <c r="AH777" s="149"/>
      <c r="AI777" s="149"/>
    </row>
    <row r="778" spans="1:35" ht="48.75" thickBot="1">
      <c r="A778" s="207" t="s">
        <v>49</v>
      </c>
      <c r="B778" s="331">
        <v>563</v>
      </c>
      <c r="C778" s="332" t="s">
        <v>39</v>
      </c>
      <c r="D778" s="209">
        <v>4212</v>
      </c>
      <c r="E778" s="240" t="s">
        <v>58</v>
      </c>
      <c r="F778" s="213" t="s">
        <v>782</v>
      </c>
      <c r="G778" s="883"/>
      <c r="H778" s="879"/>
      <c r="I778" s="880"/>
      <c r="J778" s="149"/>
      <c r="K778" s="149"/>
      <c r="L778" s="149"/>
      <c r="M778" s="149"/>
      <c r="N778" s="149"/>
      <c r="O778" s="149"/>
      <c r="P778" s="149"/>
      <c r="Q778" s="149"/>
      <c r="R778" s="149"/>
      <c r="S778" s="149"/>
      <c r="T778" s="149"/>
      <c r="U778" s="149"/>
      <c r="V778" s="149"/>
      <c r="W778" s="149"/>
      <c r="X778" s="149"/>
      <c r="Y778" s="149"/>
      <c r="Z778" s="149"/>
      <c r="AA778" s="149"/>
      <c r="AB778" s="149"/>
      <c r="AC778" s="149"/>
      <c r="AD778" s="149"/>
      <c r="AE778" s="149"/>
      <c r="AF778" s="149"/>
      <c r="AG778" s="149"/>
      <c r="AH778" s="149"/>
      <c r="AI778" s="149"/>
    </row>
    <row r="779" spans="1:35" ht="48.75" thickBot="1">
      <c r="A779" s="157" t="s">
        <v>49</v>
      </c>
      <c r="B779" s="333">
        <v>563</v>
      </c>
      <c r="C779" s="334" t="s">
        <v>39</v>
      </c>
      <c r="D779" s="158"/>
      <c r="E779" s="229" t="s">
        <v>161</v>
      </c>
      <c r="F779" s="214" t="s">
        <v>782</v>
      </c>
      <c r="G779" s="881">
        <f>G774+G775+G776+G777+G778</f>
        <v>0</v>
      </c>
      <c r="H779" s="881">
        <f t="shared" ref="H779:I779" si="16">H774+H775+H776+H777+H778</f>
        <v>0</v>
      </c>
      <c r="I779" s="893">
        <f t="shared" si="16"/>
        <v>0</v>
      </c>
      <c r="J779" s="149"/>
      <c r="K779" s="149"/>
      <c r="L779" s="149"/>
      <c r="M779" s="149"/>
      <c r="N779" s="149"/>
      <c r="O779" s="149"/>
      <c r="P779" s="149"/>
      <c r="Q779" s="149"/>
      <c r="R779" s="149"/>
      <c r="S779" s="149"/>
      <c r="T779" s="149"/>
      <c r="U779" s="149"/>
      <c r="V779" s="149"/>
      <c r="W779" s="149"/>
      <c r="X779" s="149"/>
      <c r="Y779" s="149"/>
      <c r="Z779" s="149"/>
      <c r="AA779" s="149"/>
      <c r="AB779" s="149"/>
      <c r="AC779" s="149"/>
      <c r="AD779" s="149"/>
      <c r="AE779" s="149"/>
      <c r="AF779" s="149"/>
      <c r="AG779" s="149"/>
      <c r="AH779" s="149"/>
      <c r="AI779" s="149"/>
    </row>
    <row r="780" spans="1:35" ht="48">
      <c r="A780" s="146" t="s">
        <v>49</v>
      </c>
      <c r="B780" s="147">
        <v>563</v>
      </c>
      <c r="C780" s="253" t="s">
        <v>39</v>
      </c>
      <c r="D780" s="147">
        <v>3111</v>
      </c>
      <c r="E780" s="226" t="s">
        <v>50</v>
      </c>
      <c r="F780" s="148" t="s">
        <v>689</v>
      </c>
      <c r="G780" s="883"/>
      <c r="H780" s="879"/>
      <c r="I780" s="880"/>
      <c r="J780" s="149"/>
      <c r="K780" s="149"/>
      <c r="L780" s="149"/>
      <c r="M780" s="149"/>
      <c r="N780" s="149"/>
      <c r="O780" s="149"/>
      <c r="P780" s="149"/>
      <c r="Q780" s="149"/>
      <c r="R780" s="149"/>
      <c r="S780" s="149"/>
      <c r="T780" s="149"/>
      <c r="U780" s="149"/>
      <c r="V780" s="149"/>
      <c r="W780" s="149"/>
      <c r="X780" s="149"/>
      <c r="Y780" s="149"/>
      <c r="Z780" s="149"/>
      <c r="AA780" s="149"/>
      <c r="AB780" s="149"/>
      <c r="AC780" s="149"/>
      <c r="AD780" s="149"/>
      <c r="AE780" s="149"/>
      <c r="AF780" s="149"/>
      <c r="AG780" s="149"/>
      <c r="AH780" s="149"/>
      <c r="AI780" s="149"/>
    </row>
    <row r="781" spans="1:35" ht="48">
      <c r="A781" s="146" t="s">
        <v>49</v>
      </c>
      <c r="B781" s="147">
        <v>563</v>
      </c>
      <c r="C781" s="253" t="s">
        <v>39</v>
      </c>
      <c r="D781" s="147">
        <v>3112</v>
      </c>
      <c r="E781" s="226" t="s">
        <v>96</v>
      </c>
      <c r="F781" s="148" t="s">
        <v>689</v>
      </c>
      <c r="G781" s="883"/>
      <c r="H781" s="879"/>
      <c r="I781" s="880"/>
      <c r="J781" s="149"/>
      <c r="K781" s="149"/>
      <c r="L781" s="149"/>
      <c r="M781" s="149"/>
      <c r="N781" s="149"/>
      <c r="O781" s="149"/>
      <c r="P781" s="149"/>
      <c r="Q781" s="149"/>
      <c r="R781" s="149"/>
      <c r="S781" s="149"/>
      <c r="T781" s="149"/>
      <c r="U781" s="149"/>
      <c r="V781" s="149"/>
      <c r="W781" s="149"/>
      <c r="X781" s="149"/>
      <c r="Y781" s="149"/>
      <c r="Z781" s="149"/>
      <c r="AA781" s="149"/>
      <c r="AB781" s="149"/>
      <c r="AC781" s="149"/>
      <c r="AD781" s="149"/>
      <c r="AE781" s="149"/>
      <c r="AF781" s="149"/>
      <c r="AG781" s="149"/>
      <c r="AH781" s="149"/>
      <c r="AI781" s="149"/>
    </row>
    <row r="782" spans="1:35" ht="48">
      <c r="A782" s="146" t="s">
        <v>49</v>
      </c>
      <c r="B782" s="147">
        <v>563</v>
      </c>
      <c r="C782" s="253" t="s">
        <v>39</v>
      </c>
      <c r="D782" s="147">
        <v>3113</v>
      </c>
      <c r="E782" s="226" t="s">
        <v>751</v>
      </c>
      <c r="F782" s="148" t="s">
        <v>689</v>
      </c>
      <c r="G782" s="883"/>
      <c r="H782" s="879"/>
      <c r="I782" s="880"/>
      <c r="J782" s="149"/>
      <c r="K782" s="149"/>
      <c r="L782" s="149"/>
      <c r="M782" s="149"/>
      <c r="N782" s="149"/>
      <c r="O782" s="149"/>
      <c r="P782" s="149"/>
      <c r="Q782" s="149"/>
      <c r="R782" s="149"/>
      <c r="S782" s="149"/>
      <c r="T782" s="149"/>
      <c r="U782" s="149"/>
      <c r="V782" s="149"/>
      <c r="W782" s="149"/>
      <c r="X782" s="149"/>
      <c r="Y782" s="149"/>
      <c r="Z782" s="149"/>
      <c r="AA782" s="149"/>
      <c r="AB782" s="149"/>
      <c r="AC782" s="149"/>
      <c r="AD782" s="149"/>
      <c r="AE782" s="149"/>
      <c r="AF782" s="149"/>
      <c r="AG782" s="149"/>
      <c r="AH782" s="149"/>
      <c r="AI782" s="149"/>
    </row>
    <row r="783" spans="1:35" ht="48">
      <c r="A783" s="146" t="s">
        <v>49</v>
      </c>
      <c r="B783" s="147">
        <v>563</v>
      </c>
      <c r="C783" s="253" t="s">
        <v>39</v>
      </c>
      <c r="D783" s="147">
        <v>3114</v>
      </c>
      <c r="E783" s="226" t="s">
        <v>750</v>
      </c>
      <c r="F783" s="148" t="s">
        <v>689</v>
      </c>
      <c r="G783" s="883"/>
      <c r="H783" s="879"/>
      <c r="I783" s="880"/>
      <c r="J783" s="149"/>
      <c r="K783" s="149"/>
      <c r="L783" s="149"/>
      <c r="M783" s="149"/>
      <c r="N783" s="149"/>
      <c r="O783" s="149"/>
      <c r="P783" s="149"/>
      <c r="Q783" s="149"/>
      <c r="R783" s="149"/>
      <c r="S783" s="149"/>
      <c r="T783" s="149"/>
      <c r="U783" s="149"/>
      <c r="V783" s="149"/>
      <c r="W783" s="149"/>
      <c r="X783" s="149"/>
      <c r="Y783" s="149"/>
      <c r="Z783" s="149"/>
      <c r="AA783" s="149"/>
      <c r="AB783" s="149"/>
      <c r="AC783" s="149"/>
      <c r="AD783" s="149"/>
      <c r="AE783" s="149"/>
      <c r="AF783" s="149"/>
      <c r="AG783" s="149"/>
      <c r="AH783" s="149"/>
      <c r="AI783" s="149"/>
    </row>
    <row r="784" spans="1:35" ht="48">
      <c r="A784" s="146" t="s">
        <v>49</v>
      </c>
      <c r="B784" s="147">
        <v>563</v>
      </c>
      <c r="C784" s="253" t="s">
        <v>39</v>
      </c>
      <c r="D784" s="151">
        <v>3121</v>
      </c>
      <c r="E784" s="227" t="s">
        <v>51</v>
      </c>
      <c r="F784" s="148" t="s">
        <v>689</v>
      </c>
      <c r="G784" s="883"/>
      <c r="H784" s="879"/>
      <c r="I784" s="880"/>
      <c r="J784" s="149"/>
      <c r="K784" s="149"/>
      <c r="L784" s="149"/>
      <c r="M784" s="149"/>
      <c r="N784" s="149"/>
      <c r="O784" s="149"/>
      <c r="P784" s="149"/>
      <c r="Q784" s="149"/>
      <c r="R784" s="149"/>
      <c r="S784" s="149"/>
      <c r="T784" s="149"/>
      <c r="U784" s="149"/>
      <c r="V784" s="149"/>
      <c r="W784" s="149"/>
      <c r="X784" s="149"/>
      <c r="Y784" s="149"/>
      <c r="Z784" s="149"/>
      <c r="AA784" s="149"/>
      <c r="AB784" s="149"/>
      <c r="AC784" s="149"/>
      <c r="AD784" s="149"/>
      <c r="AE784" s="149"/>
      <c r="AF784" s="149"/>
      <c r="AG784" s="149"/>
      <c r="AH784" s="149"/>
      <c r="AI784" s="149"/>
    </row>
    <row r="785" spans="1:35" ht="48">
      <c r="A785" s="146" t="s">
        <v>49</v>
      </c>
      <c r="B785" s="147">
        <v>563</v>
      </c>
      <c r="C785" s="253" t="s">
        <v>39</v>
      </c>
      <c r="D785" s="151">
        <v>3131</v>
      </c>
      <c r="E785" s="227" t="s">
        <v>752</v>
      </c>
      <c r="F785" s="148" t="s">
        <v>689</v>
      </c>
      <c r="G785" s="883"/>
      <c r="H785" s="879"/>
      <c r="I785" s="880"/>
      <c r="J785" s="149"/>
      <c r="K785" s="149"/>
      <c r="L785" s="149"/>
      <c r="M785" s="149"/>
      <c r="N785" s="149"/>
      <c r="O785" s="149"/>
      <c r="P785" s="149"/>
      <c r="Q785" s="149"/>
      <c r="R785" s="149"/>
      <c r="S785" s="149"/>
      <c r="T785" s="149"/>
      <c r="U785" s="149"/>
      <c r="V785" s="149"/>
      <c r="W785" s="149"/>
      <c r="X785" s="149"/>
      <c r="Y785" s="149"/>
      <c r="Z785" s="149"/>
      <c r="AA785" s="149"/>
      <c r="AB785" s="149"/>
      <c r="AC785" s="149"/>
      <c r="AD785" s="149"/>
      <c r="AE785" s="149"/>
      <c r="AF785" s="149"/>
      <c r="AG785" s="149"/>
      <c r="AH785" s="149"/>
      <c r="AI785" s="149"/>
    </row>
    <row r="786" spans="1:35" ht="48">
      <c r="A786" s="146" t="s">
        <v>49</v>
      </c>
      <c r="B786" s="147">
        <v>563</v>
      </c>
      <c r="C786" s="253" t="s">
        <v>39</v>
      </c>
      <c r="D786" s="151">
        <v>3132</v>
      </c>
      <c r="E786" s="227" t="s">
        <v>52</v>
      </c>
      <c r="F786" s="148" t="s">
        <v>689</v>
      </c>
      <c r="G786" s="883"/>
      <c r="H786" s="879"/>
      <c r="I786" s="880"/>
      <c r="J786" s="149"/>
      <c r="K786" s="149"/>
      <c r="L786" s="149"/>
      <c r="M786" s="149"/>
      <c r="N786" s="149"/>
      <c r="O786" s="149"/>
      <c r="P786" s="149"/>
      <c r="Q786" s="149"/>
      <c r="R786" s="149"/>
      <c r="S786" s="149"/>
      <c r="T786" s="149"/>
      <c r="U786" s="149"/>
      <c r="V786" s="149"/>
      <c r="W786" s="149"/>
      <c r="X786" s="149"/>
      <c r="Y786" s="149"/>
      <c r="Z786" s="149"/>
      <c r="AA786" s="149"/>
      <c r="AB786" s="149"/>
      <c r="AC786" s="149"/>
      <c r="AD786" s="149"/>
      <c r="AE786" s="149"/>
      <c r="AF786" s="149"/>
      <c r="AG786" s="149"/>
      <c r="AH786" s="149"/>
      <c r="AI786" s="149"/>
    </row>
    <row r="787" spans="1:35" ht="72">
      <c r="A787" s="146" t="s">
        <v>49</v>
      </c>
      <c r="B787" s="147">
        <v>563</v>
      </c>
      <c r="C787" s="253" t="s">
        <v>39</v>
      </c>
      <c r="D787" s="151">
        <v>3133</v>
      </c>
      <c r="E787" s="227" t="s">
        <v>753</v>
      </c>
      <c r="F787" s="148" t="s">
        <v>689</v>
      </c>
      <c r="G787" s="883"/>
      <c r="H787" s="879"/>
      <c r="I787" s="880"/>
      <c r="J787" s="149"/>
      <c r="K787" s="149"/>
      <c r="L787" s="149"/>
      <c r="M787" s="149"/>
      <c r="N787" s="149"/>
      <c r="O787" s="149"/>
      <c r="P787" s="149"/>
      <c r="Q787" s="149"/>
      <c r="R787" s="149"/>
      <c r="S787" s="149"/>
      <c r="T787" s="149"/>
      <c r="U787" s="149"/>
      <c r="V787" s="149"/>
      <c r="W787" s="149"/>
      <c r="X787" s="149"/>
      <c r="Y787" s="149"/>
      <c r="Z787" s="149"/>
      <c r="AA787" s="149"/>
      <c r="AB787" s="149"/>
      <c r="AC787" s="149"/>
      <c r="AD787" s="149"/>
      <c r="AE787" s="149"/>
      <c r="AF787" s="149"/>
      <c r="AG787" s="149"/>
      <c r="AH787" s="149"/>
      <c r="AI787" s="149"/>
    </row>
    <row r="788" spans="1:35" ht="48">
      <c r="A788" s="146" t="s">
        <v>49</v>
      </c>
      <c r="B788" s="147">
        <v>563</v>
      </c>
      <c r="C788" s="253" t="s">
        <v>39</v>
      </c>
      <c r="D788" s="151">
        <v>3211</v>
      </c>
      <c r="E788" s="227" t="s">
        <v>60</v>
      </c>
      <c r="F788" s="148" t="s">
        <v>689</v>
      </c>
      <c r="G788" s="883"/>
      <c r="H788" s="879"/>
      <c r="I788" s="880"/>
      <c r="J788" s="149"/>
      <c r="K788" s="149"/>
      <c r="L788" s="149"/>
      <c r="M788" s="149"/>
      <c r="N788" s="149"/>
      <c r="O788" s="149"/>
      <c r="P788" s="149"/>
      <c r="Q788" s="149"/>
      <c r="R788" s="149"/>
      <c r="S788" s="149"/>
      <c r="T788" s="149"/>
      <c r="U788" s="149"/>
      <c r="V788" s="149"/>
      <c r="W788" s="149"/>
      <c r="X788" s="149"/>
      <c r="Y788" s="149"/>
      <c r="Z788" s="149"/>
      <c r="AA788" s="149"/>
      <c r="AB788" s="149"/>
      <c r="AC788" s="149"/>
      <c r="AD788" s="149"/>
      <c r="AE788" s="149"/>
      <c r="AF788" s="149"/>
      <c r="AG788" s="149"/>
      <c r="AH788" s="149"/>
      <c r="AI788" s="149"/>
    </row>
    <row r="789" spans="1:35" ht="60">
      <c r="A789" s="146" t="s">
        <v>49</v>
      </c>
      <c r="B789" s="147">
        <v>563</v>
      </c>
      <c r="C789" s="253" t="s">
        <v>39</v>
      </c>
      <c r="D789" s="151">
        <v>3212</v>
      </c>
      <c r="E789" s="227" t="s">
        <v>754</v>
      </c>
      <c r="F789" s="148" t="s">
        <v>689</v>
      </c>
      <c r="G789" s="883"/>
      <c r="H789" s="879"/>
      <c r="I789" s="880"/>
      <c r="J789" s="149"/>
      <c r="K789" s="149"/>
      <c r="L789" s="149"/>
      <c r="M789" s="149"/>
      <c r="N789" s="149"/>
      <c r="O789" s="149"/>
      <c r="P789" s="149"/>
      <c r="Q789" s="149"/>
      <c r="R789" s="149"/>
      <c r="S789" s="149"/>
      <c r="T789" s="149"/>
      <c r="U789" s="149"/>
      <c r="V789" s="149"/>
      <c r="W789" s="149"/>
      <c r="X789" s="149"/>
      <c r="Y789" s="149"/>
      <c r="Z789" s="149"/>
      <c r="AA789" s="149"/>
      <c r="AB789" s="149"/>
      <c r="AC789" s="149"/>
      <c r="AD789" s="149"/>
      <c r="AE789" s="149"/>
      <c r="AF789" s="149"/>
      <c r="AG789" s="149"/>
      <c r="AH789" s="149"/>
      <c r="AI789" s="149"/>
    </row>
    <row r="790" spans="1:35" ht="48">
      <c r="A790" s="146" t="s">
        <v>49</v>
      </c>
      <c r="B790" s="147">
        <v>563</v>
      </c>
      <c r="C790" s="253" t="s">
        <v>39</v>
      </c>
      <c r="D790" s="151">
        <v>3213</v>
      </c>
      <c r="E790" s="227" t="s">
        <v>64</v>
      </c>
      <c r="F790" s="148" t="s">
        <v>689</v>
      </c>
      <c r="G790" s="883"/>
      <c r="H790" s="879"/>
      <c r="I790" s="880"/>
      <c r="J790" s="149"/>
      <c r="K790" s="149"/>
      <c r="L790" s="149"/>
      <c r="M790" s="149"/>
      <c r="N790" s="149"/>
      <c r="O790" s="149"/>
      <c r="P790" s="149"/>
      <c r="Q790" s="149"/>
      <c r="R790" s="149"/>
      <c r="S790" s="149"/>
      <c r="T790" s="149"/>
      <c r="U790" s="149"/>
      <c r="V790" s="149"/>
      <c r="W790" s="149"/>
      <c r="X790" s="149"/>
      <c r="Y790" s="149"/>
      <c r="Z790" s="149"/>
      <c r="AA790" s="149"/>
      <c r="AB790" s="149"/>
      <c r="AC790" s="149"/>
      <c r="AD790" s="149"/>
      <c r="AE790" s="149"/>
      <c r="AF790" s="149"/>
      <c r="AG790" s="149"/>
      <c r="AH790" s="149"/>
      <c r="AI790" s="149"/>
    </row>
    <row r="791" spans="1:35" ht="48">
      <c r="A791" s="146" t="s">
        <v>49</v>
      </c>
      <c r="B791" s="147">
        <v>563</v>
      </c>
      <c r="C791" s="253" t="s">
        <v>39</v>
      </c>
      <c r="D791" s="151">
        <v>3214</v>
      </c>
      <c r="E791" s="227" t="s">
        <v>75</v>
      </c>
      <c r="F791" s="148" t="s">
        <v>689</v>
      </c>
      <c r="G791" s="883"/>
      <c r="H791" s="879"/>
      <c r="I791" s="880"/>
      <c r="J791" s="149"/>
      <c r="K791" s="149"/>
      <c r="L791" s="149"/>
      <c r="M791" s="149"/>
      <c r="N791" s="149"/>
      <c r="O791" s="149"/>
      <c r="P791" s="149"/>
      <c r="Q791" s="149"/>
      <c r="R791" s="149"/>
      <c r="S791" s="149"/>
      <c r="T791" s="149"/>
      <c r="U791" s="149"/>
      <c r="V791" s="149"/>
      <c r="W791" s="149"/>
      <c r="X791" s="149"/>
      <c r="Y791" s="149"/>
      <c r="Z791" s="149"/>
      <c r="AA791" s="149"/>
      <c r="AB791" s="149"/>
      <c r="AC791" s="149"/>
      <c r="AD791" s="149"/>
      <c r="AE791" s="149"/>
      <c r="AF791" s="149"/>
      <c r="AG791" s="149"/>
      <c r="AH791" s="149"/>
      <c r="AI791" s="149"/>
    </row>
    <row r="792" spans="1:35" ht="60">
      <c r="A792" s="146" t="s">
        <v>49</v>
      </c>
      <c r="B792" s="147">
        <v>563</v>
      </c>
      <c r="C792" s="253" t="s">
        <v>39</v>
      </c>
      <c r="D792" s="151">
        <v>3221</v>
      </c>
      <c r="E792" s="227" t="s">
        <v>65</v>
      </c>
      <c r="F792" s="148" t="s">
        <v>689</v>
      </c>
      <c r="G792" s="883"/>
      <c r="H792" s="879"/>
      <c r="I792" s="880"/>
      <c r="J792" s="149"/>
      <c r="K792" s="149"/>
      <c r="L792" s="149"/>
      <c r="M792" s="149"/>
      <c r="N792" s="149"/>
      <c r="O792" s="149"/>
      <c r="P792" s="149"/>
      <c r="Q792" s="149"/>
      <c r="R792" s="149"/>
      <c r="S792" s="149"/>
      <c r="T792" s="149"/>
      <c r="U792" s="149"/>
      <c r="V792" s="149"/>
      <c r="W792" s="149"/>
      <c r="X792" s="149"/>
      <c r="Y792" s="149"/>
      <c r="Z792" s="149"/>
      <c r="AA792" s="149"/>
      <c r="AB792" s="149"/>
      <c r="AC792" s="149"/>
      <c r="AD792" s="149"/>
      <c r="AE792" s="149"/>
      <c r="AF792" s="149"/>
      <c r="AG792" s="149"/>
      <c r="AH792" s="149"/>
      <c r="AI792" s="149"/>
    </row>
    <row r="793" spans="1:35" ht="48">
      <c r="A793" s="146" t="s">
        <v>49</v>
      </c>
      <c r="B793" s="147">
        <v>563</v>
      </c>
      <c r="C793" s="253" t="s">
        <v>39</v>
      </c>
      <c r="D793" s="151">
        <v>3222</v>
      </c>
      <c r="E793" s="227" t="s">
        <v>76</v>
      </c>
      <c r="F793" s="148" t="s">
        <v>689</v>
      </c>
      <c r="G793" s="883"/>
      <c r="H793" s="879"/>
      <c r="I793" s="880"/>
      <c r="J793" s="149"/>
      <c r="K793" s="149"/>
      <c r="L793" s="149"/>
      <c r="M793" s="149"/>
      <c r="N793" s="149"/>
      <c r="O793" s="149"/>
      <c r="P793" s="149"/>
      <c r="Q793" s="149"/>
      <c r="R793" s="149"/>
      <c r="S793" s="149"/>
      <c r="T793" s="149"/>
      <c r="U793" s="149"/>
      <c r="V793" s="149"/>
      <c r="W793" s="149"/>
      <c r="X793" s="149"/>
      <c r="Y793" s="149"/>
      <c r="Z793" s="149"/>
      <c r="AA793" s="149"/>
      <c r="AB793" s="149"/>
      <c r="AC793" s="149"/>
      <c r="AD793" s="149"/>
      <c r="AE793" s="149"/>
      <c r="AF793" s="149"/>
      <c r="AG793" s="149"/>
      <c r="AH793" s="149"/>
      <c r="AI793" s="149"/>
    </row>
    <row r="794" spans="1:35" ht="48">
      <c r="A794" s="146" t="s">
        <v>49</v>
      </c>
      <c r="B794" s="147">
        <v>563</v>
      </c>
      <c r="C794" s="253" t="s">
        <v>39</v>
      </c>
      <c r="D794" s="151">
        <v>3223</v>
      </c>
      <c r="E794" s="227" t="s">
        <v>77</v>
      </c>
      <c r="F794" s="148" t="s">
        <v>689</v>
      </c>
      <c r="G794" s="883"/>
      <c r="H794" s="879"/>
      <c r="I794" s="880"/>
      <c r="J794" s="149"/>
      <c r="K794" s="149"/>
      <c r="L794" s="149"/>
      <c r="M794" s="149"/>
      <c r="N794" s="149"/>
      <c r="O794" s="149"/>
      <c r="P794" s="149"/>
      <c r="Q794" s="149"/>
      <c r="R794" s="149"/>
      <c r="S794" s="149"/>
      <c r="T794" s="149"/>
      <c r="U794" s="149"/>
      <c r="V794" s="149"/>
      <c r="W794" s="149"/>
      <c r="X794" s="149"/>
      <c r="Y794" s="149"/>
      <c r="Z794" s="149"/>
      <c r="AA794" s="149"/>
      <c r="AB794" s="149"/>
      <c r="AC794" s="149"/>
      <c r="AD794" s="149"/>
      <c r="AE794" s="149"/>
      <c r="AF794" s="149"/>
      <c r="AG794" s="149"/>
      <c r="AH794" s="149"/>
      <c r="AI794" s="149"/>
    </row>
    <row r="795" spans="1:35" ht="60">
      <c r="A795" s="146" t="s">
        <v>49</v>
      </c>
      <c r="B795" s="147">
        <v>563</v>
      </c>
      <c r="C795" s="253" t="s">
        <v>39</v>
      </c>
      <c r="D795" s="151">
        <v>3224</v>
      </c>
      <c r="E795" s="227" t="s">
        <v>61</v>
      </c>
      <c r="F795" s="148" t="s">
        <v>689</v>
      </c>
      <c r="G795" s="883"/>
      <c r="H795" s="879"/>
      <c r="I795" s="880"/>
      <c r="J795" s="149"/>
      <c r="K795" s="149"/>
      <c r="L795" s="149"/>
      <c r="M795" s="149"/>
      <c r="N795" s="149"/>
      <c r="O795" s="149"/>
      <c r="P795" s="149"/>
      <c r="Q795" s="149"/>
      <c r="R795" s="149"/>
      <c r="S795" s="149"/>
      <c r="T795" s="149"/>
      <c r="U795" s="149"/>
      <c r="V795" s="149"/>
      <c r="W795" s="149"/>
      <c r="X795" s="149"/>
      <c r="Y795" s="149"/>
      <c r="Z795" s="149"/>
      <c r="AA795" s="149"/>
      <c r="AB795" s="149"/>
      <c r="AC795" s="149"/>
      <c r="AD795" s="149"/>
      <c r="AE795" s="149"/>
      <c r="AF795" s="149"/>
      <c r="AG795" s="149"/>
      <c r="AH795" s="149"/>
      <c r="AI795" s="149"/>
    </row>
    <row r="796" spans="1:35" ht="48">
      <c r="A796" s="146" t="s">
        <v>49</v>
      </c>
      <c r="B796" s="147">
        <v>563</v>
      </c>
      <c r="C796" s="253" t="s">
        <v>39</v>
      </c>
      <c r="D796" s="151">
        <v>3225</v>
      </c>
      <c r="E796" s="227" t="s">
        <v>78</v>
      </c>
      <c r="F796" s="148" t="s">
        <v>689</v>
      </c>
      <c r="G796" s="883"/>
      <c r="H796" s="879"/>
      <c r="I796" s="880"/>
      <c r="J796" s="149"/>
      <c r="K796" s="149"/>
      <c r="L796" s="149"/>
      <c r="M796" s="149"/>
      <c r="N796" s="149"/>
      <c r="O796" s="149"/>
      <c r="P796" s="149"/>
      <c r="Q796" s="149"/>
      <c r="R796" s="149"/>
      <c r="S796" s="149"/>
      <c r="T796" s="149"/>
      <c r="U796" s="149"/>
      <c r="V796" s="149"/>
      <c r="W796" s="149"/>
      <c r="X796" s="149"/>
      <c r="Y796" s="149"/>
      <c r="Z796" s="149"/>
      <c r="AA796" s="149"/>
      <c r="AB796" s="149"/>
      <c r="AC796" s="149"/>
      <c r="AD796" s="149"/>
      <c r="AE796" s="149"/>
      <c r="AF796" s="149"/>
      <c r="AG796" s="149"/>
      <c r="AH796" s="149"/>
      <c r="AI796" s="149"/>
    </row>
    <row r="797" spans="1:35" ht="60">
      <c r="A797" s="146" t="s">
        <v>49</v>
      </c>
      <c r="B797" s="147">
        <v>563</v>
      </c>
      <c r="C797" s="253" t="s">
        <v>39</v>
      </c>
      <c r="D797" s="151">
        <v>3227</v>
      </c>
      <c r="E797" s="227" t="s">
        <v>89</v>
      </c>
      <c r="F797" s="148" t="s">
        <v>689</v>
      </c>
      <c r="G797" s="883"/>
      <c r="H797" s="879"/>
      <c r="I797" s="880"/>
      <c r="J797" s="149"/>
      <c r="K797" s="149"/>
      <c r="L797" s="149"/>
      <c r="M797" s="149"/>
      <c r="N797" s="149"/>
      <c r="O797" s="149"/>
      <c r="P797" s="149"/>
      <c r="Q797" s="149"/>
      <c r="R797" s="149"/>
      <c r="S797" s="149"/>
      <c r="T797" s="149"/>
      <c r="U797" s="149"/>
      <c r="V797" s="149"/>
      <c r="W797" s="149"/>
      <c r="X797" s="149"/>
      <c r="Y797" s="149"/>
      <c r="Z797" s="149"/>
      <c r="AA797" s="149"/>
      <c r="AB797" s="149"/>
      <c r="AC797" s="149"/>
      <c r="AD797" s="149"/>
      <c r="AE797" s="149"/>
      <c r="AF797" s="149"/>
      <c r="AG797" s="149"/>
      <c r="AH797" s="149"/>
      <c r="AI797" s="149"/>
    </row>
    <row r="798" spans="1:35" ht="48">
      <c r="A798" s="146" t="s">
        <v>49</v>
      </c>
      <c r="B798" s="147">
        <v>563</v>
      </c>
      <c r="C798" s="253" t="s">
        <v>39</v>
      </c>
      <c r="D798" s="151">
        <v>3231</v>
      </c>
      <c r="E798" s="227" t="s">
        <v>79</v>
      </c>
      <c r="F798" s="148" t="s">
        <v>689</v>
      </c>
      <c r="G798" s="883"/>
      <c r="H798" s="879"/>
      <c r="I798" s="880"/>
      <c r="J798" s="149"/>
      <c r="K798" s="149"/>
      <c r="L798" s="149"/>
      <c r="M798" s="149"/>
      <c r="N798" s="149"/>
      <c r="O798" s="149"/>
      <c r="P798" s="149"/>
      <c r="Q798" s="149"/>
      <c r="R798" s="149"/>
      <c r="S798" s="149"/>
      <c r="T798" s="149"/>
      <c r="U798" s="149"/>
      <c r="V798" s="149"/>
      <c r="W798" s="149"/>
      <c r="X798" s="149"/>
      <c r="Y798" s="149"/>
      <c r="Z798" s="149"/>
      <c r="AA798" s="149"/>
      <c r="AB798" s="149"/>
      <c r="AC798" s="149"/>
      <c r="AD798" s="149"/>
      <c r="AE798" s="149"/>
      <c r="AF798" s="149"/>
      <c r="AG798" s="149"/>
      <c r="AH798" s="149"/>
      <c r="AI798" s="149"/>
    </row>
    <row r="799" spans="1:35" ht="48">
      <c r="A799" s="146" t="s">
        <v>49</v>
      </c>
      <c r="B799" s="147">
        <v>563</v>
      </c>
      <c r="C799" s="253" t="s">
        <v>39</v>
      </c>
      <c r="D799" s="151">
        <v>3232</v>
      </c>
      <c r="E799" s="227" t="s">
        <v>80</v>
      </c>
      <c r="F799" s="148" t="s">
        <v>689</v>
      </c>
      <c r="G799" s="883"/>
      <c r="H799" s="879"/>
      <c r="I799" s="880"/>
      <c r="J799" s="149"/>
      <c r="K799" s="149"/>
      <c r="L799" s="149"/>
      <c r="M799" s="149"/>
      <c r="N799" s="149"/>
      <c r="O799" s="149"/>
      <c r="P799" s="149"/>
      <c r="Q799" s="149"/>
      <c r="R799" s="149"/>
      <c r="S799" s="149"/>
      <c r="T799" s="149"/>
      <c r="U799" s="149"/>
      <c r="V799" s="149"/>
      <c r="W799" s="149"/>
      <c r="X799" s="149"/>
      <c r="Y799" s="149"/>
      <c r="Z799" s="149"/>
      <c r="AA799" s="149"/>
      <c r="AB799" s="149"/>
      <c r="AC799" s="149"/>
      <c r="AD799" s="149"/>
      <c r="AE799" s="149"/>
      <c r="AF799" s="149"/>
      <c r="AG799" s="149"/>
      <c r="AH799" s="149"/>
      <c r="AI799" s="149"/>
    </row>
    <row r="800" spans="1:35" ht="48">
      <c r="A800" s="146" t="s">
        <v>49</v>
      </c>
      <c r="B800" s="147">
        <v>563</v>
      </c>
      <c r="C800" s="253" t="s">
        <v>39</v>
      </c>
      <c r="D800" s="151">
        <v>3233</v>
      </c>
      <c r="E800" s="227" t="s">
        <v>81</v>
      </c>
      <c r="F800" s="148" t="s">
        <v>689</v>
      </c>
      <c r="G800" s="883"/>
      <c r="H800" s="879"/>
      <c r="I800" s="880"/>
      <c r="J800" s="149"/>
      <c r="K800" s="149"/>
      <c r="L800" s="149"/>
      <c r="M800" s="149"/>
      <c r="N800" s="149"/>
      <c r="O800" s="149"/>
      <c r="P800" s="149"/>
      <c r="Q800" s="149"/>
      <c r="R800" s="149"/>
      <c r="S800" s="149"/>
      <c r="T800" s="149"/>
      <c r="U800" s="149"/>
      <c r="V800" s="149"/>
      <c r="W800" s="149"/>
      <c r="X800" s="149"/>
      <c r="Y800" s="149"/>
      <c r="Z800" s="149"/>
      <c r="AA800" s="149"/>
      <c r="AB800" s="149"/>
      <c r="AC800" s="149"/>
      <c r="AD800" s="149"/>
      <c r="AE800" s="149"/>
      <c r="AF800" s="149"/>
      <c r="AG800" s="149"/>
      <c r="AH800" s="149"/>
      <c r="AI800" s="149"/>
    </row>
    <row r="801" spans="1:35" ht="48">
      <c r="A801" s="146" t="s">
        <v>49</v>
      </c>
      <c r="B801" s="147">
        <v>563</v>
      </c>
      <c r="C801" s="253" t="s">
        <v>39</v>
      </c>
      <c r="D801" s="151">
        <v>3234</v>
      </c>
      <c r="E801" s="227" t="s">
        <v>87</v>
      </c>
      <c r="F801" s="148" t="s">
        <v>689</v>
      </c>
      <c r="G801" s="883"/>
      <c r="H801" s="879"/>
      <c r="I801" s="880"/>
      <c r="J801" s="149"/>
      <c r="K801" s="149"/>
      <c r="L801" s="149"/>
      <c r="M801" s="149"/>
      <c r="N801" s="149"/>
      <c r="O801" s="149"/>
      <c r="P801" s="149"/>
      <c r="Q801" s="149"/>
      <c r="R801" s="149"/>
      <c r="S801" s="149"/>
      <c r="T801" s="149"/>
      <c r="U801" s="149"/>
      <c r="V801" s="149"/>
      <c r="W801" s="149"/>
      <c r="X801" s="149"/>
      <c r="Y801" s="149"/>
      <c r="Z801" s="149"/>
      <c r="AA801" s="149"/>
      <c r="AB801" s="149"/>
      <c r="AC801" s="149"/>
      <c r="AD801" s="149"/>
      <c r="AE801" s="149"/>
      <c r="AF801" s="149"/>
      <c r="AG801" s="149"/>
      <c r="AH801" s="149"/>
      <c r="AI801" s="149"/>
    </row>
    <row r="802" spans="1:35" ht="48">
      <c r="A802" s="146" t="s">
        <v>49</v>
      </c>
      <c r="B802" s="147">
        <v>563</v>
      </c>
      <c r="C802" s="253" t="s">
        <v>39</v>
      </c>
      <c r="D802" s="151">
        <v>3235</v>
      </c>
      <c r="E802" s="227" t="s">
        <v>88</v>
      </c>
      <c r="F802" s="148" t="s">
        <v>689</v>
      </c>
      <c r="G802" s="883"/>
      <c r="H802" s="879"/>
      <c r="I802" s="880"/>
      <c r="J802" s="149"/>
      <c r="K802" s="149"/>
      <c r="L802" s="149"/>
      <c r="M802" s="149"/>
      <c r="N802" s="149"/>
      <c r="O802" s="149"/>
      <c r="P802" s="149"/>
      <c r="Q802" s="149"/>
      <c r="R802" s="149"/>
      <c r="S802" s="149"/>
      <c r="T802" s="149"/>
      <c r="U802" s="149"/>
      <c r="V802" s="149"/>
      <c r="W802" s="149"/>
      <c r="X802" s="149"/>
      <c r="Y802" s="149"/>
      <c r="Z802" s="149"/>
      <c r="AA802" s="149"/>
      <c r="AB802" s="149"/>
      <c r="AC802" s="149"/>
      <c r="AD802" s="149"/>
      <c r="AE802" s="149"/>
      <c r="AF802" s="149"/>
      <c r="AG802" s="149"/>
      <c r="AH802" s="149"/>
      <c r="AI802" s="149"/>
    </row>
    <row r="803" spans="1:35" ht="48">
      <c r="A803" s="146" t="s">
        <v>49</v>
      </c>
      <c r="B803" s="147">
        <v>563</v>
      </c>
      <c r="C803" s="253" t="s">
        <v>39</v>
      </c>
      <c r="D803" s="151">
        <v>3236</v>
      </c>
      <c r="E803" s="227" t="s">
        <v>54</v>
      </c>
      <c r="F803" s="148" t="s">
        <v>689</v>
      </c>
      <c r="G803" s="883"/>
      <c r="H803" s="879"/>
      <c r="I803" s="880"/>
      <c r="J803" s="149"/>
      <c r="K803" s="149"/>
      <c r="L803" s="149"/>
      <c r="M803" s="149"/>
      <c r="N803" s="149"/>
      <c r="O803" s="149"/>
      <c r="P803" s="149"/>
      <c r="Q803" s="149"/>
      <c r="R803" s="149"/>
      <c r="S803" s="149"/>
      <c r="T803" s="149"/>
      <c r="U803" s="149"/>
      <c r="V803" s="149"/>
      <c r="W803" s="149"/>
      <c r="X803" s="149"/>
      <c r="Y803" s="149"/>
      <c r="Z803" s="149"/>
      <c r="AA803" s="149"/>
      <c r="AB803" s="149"/>
      <c r="AC803" s="149"/>
      <c r="AD803" s="149"/>
      <c r="AE803" s="149"/>
      <c r="AF803" s="149"/>
      <c r="AG803" s="149"/>
      <c r="AH803" s="149"/>
      <c r="AI803" s="149"/>
    </row>
    <row r="804" spans="1:35" ht="48">
      <c r="A804" s="146" t="s">
        <v>49</v>
      </c>
      <c r="B804" s="147">
        <v>563</v>
      </c>
      <c r="C804" s="253" t="s">
        <v>39</v>
      </c>
      <c r="D804" s="151">
        <v>3237</v>
      </c>
      <c r="E804" s="227" t="s">
        <v>62</v>
      </c>
      <c r="F804" s="148" t="s">
        <v>689</v>
      </c>
      <c r="G804" s="883"/>
      <c r="H804" s="879"/>
      <c r="I804" s="880"/>
      <c r="J804" s="149"/>
      <c r="K804" s="149"/>
      <c r="L804" s="149"/>
      <c r="M804" s="149"/>
      <c r="N804" s="149"/>
      <c r="O804" s="149"/>
      <c r="P804" s="149"/>
      <c r="Q804" s="149"/>
      <c r="R804" s="149"/>
      <c r="S804" s="149"/>
      <c r="T804" s="149"/>
      <c r="U804" s="149"/>
      <c r="V804" s="149"/>
      <c r="W804" s="149"/>
      <c r="X804" s="149"/>
      <c r="Y804" s="149"/>
      <c r="Z804" s="149"/>
      <c r="AA804" s="149"/>
      <c r="AB804" s="149"/>
      <c r="AC804" s="149"/>
      <c r="AD804" s="149"/>
      <c r="AE804" s="149"/>
      <c r="AF804" s="149"/>
      <c r="AG804" s="149"/>
      <c r="AH804" s="149"/>
      <c r="AI804" s="149"/>
    </row>
    <row r="805" spans="1:35" ht="48">
      <c r="A805" s="146" t="s">
        <v>49</v>
      </c>
      <c r="B805" s="147">
        <v>563</v>
      </c>
      <c r="C805" s="253" t="s">
        <v>39</v>
      </c>
      <c r="D805" s="151">
        <v>3238</v>
      </c>
      <c r="E805" s="227" t="s">
        <v>82</v>
      </c>
      <c r="F805" s="148" t="s">
        <v>689</v>
      </c>
      <c r="G805" s="883"/>
      <c r="H805" s="879"/>
      <c r="I805" s="880"/>
      <c r="J805" s="149"/>
      <c r="K805" s="149"/>
      <c r="L805" s="149"/>
      <c r="M805" s="149"/>
      <c r="N805" s="149"/>
      <c r="O805" s="149"/>
      <c r="P805" s="149"/>
      <c r="Q805" s="149"/>
      <c r="R805" s="149"/>
      <c r="S805" s="149"/>
      <c r="T805" s="149"/>
      <c r="U805" s="149"/>
      <c r="V805" s="149"/>
      <c r="W805" s="149"/>
      <c r="X805" s="149"/>
      <c r="Y805" s="149"/>
      <c r="Z805" s="149"/>
      <c r="AA805" s="149"/>
      <c r="AB805" s="149"/>
      <c r="AC805" s="149"/>
      <c r="AD805" s="149"/>
      <c r="AE805" s="149"/>
      <c r="AF805" s="149"/>
      <c r="AG805" s="149"/>
      <c r="AH805" s="149"/>
      <c r="AI805" s="149"/>
    </row>
    <row r="806" spans="1:35" ht="48">
      <c r="A806" s="146" t="s">
        <v>49</v>
      </c>
      <c r="B806" s="147">
        <v>563</v>
      </c>
      <c r="C806" s="253" t="s">
        <v>39</v>
      </c>
      <c r="D806" s="151">
        <v>3239</v>
      </c>
      <c r="E806" s="227" t="s">
        <v>66</v>
      </c>
      <c r="F806" s="148" t="s">
        <v>689</v>
      </c>
      <c r="G806" s="883"/>
      <c r="H806" s="879"/>
      <c r="I806" s="880"/>
      <c r="J806" s="149"/>
      <c r="K806" s="149"/>
      <c r="L806" s="149"/>
      <c r="M806" s="149"/>
      <c r="N806" s="149"/>
      <c r="O806" s="149"/>
      <c r="P806" s="149"/>
      <c r="Q806" s="149"/>
      <c r="R806" s="149"/>
      <c r="S806" s="149"/>
      <c r="T806" s="149"/>
      <c r="U806" s="149"/>
      <c r="V806" s="149"/>
      <c r="W806" s="149"/>
      <c r="X806" s="149"/>
      <c r="Y806" s="149"/>
      <c r="Z806" s="149"/>
      <c r="AA806" s="149"/>
      <c r="AB806" s="149"/>
      <c r="AC806" s="149"/>
      <c r="AD806" s="149"/>
      <c r="AE806" s="149"/>
      <c r="AF806" s="149"/>
      <c r="AG806" s="149"/>
      <c r="AH806" s="149"/>
      <c r="AI806" s="149"/>
    </row>
    <row r="807" spans="1:35" ht="60">
      <c r="A807" s="146" t="s">
        <v>49</v>
      </c>
      <c r="B807" s="147">
        <v>563</v>
      </c>
      <c r="C807" s="253" t="s">
        <v>39</v>
      </c>
      <c r="D807" s="151">
        <v>3241</v>
      </c>
      <c r="E807" s="227" t="s">
        <v>67</v>
      </c>
      <c r="F807" s="148" t="s">
        <v>689</v>
      </c>
      <c r="G807" s="883"/>
      <c r="H807" s="879"/>
      <c r="I807" s="880"/>
      <c r="J807" s="149"/>
      <c r="K807" s="149"/>
      <c r="L807" s="149"/>
      <c r="M807" s="149"/>
      <c r="N807" s="149"/>
      <c r="O807" s="149"/>
      <c r="P807" s="149"/>
      <c r="Q807" s="149"/>
      <c r="R807" s="149"/>
      <c r="S807" s="149"/>
      <c r="T807" s="149"/>
      <c r="U807" s="149"/>
      <c r="V807" s="149"/>
      <c r="W807" s="149"/>
      <c r="X807" s="149"/>
      <c r="Y807" s="149"/>
      <c r="Z807" s="149"/>
      <c r="AA807" s="149"/>
      <c r="AB807" s="149"/>
      <c r="AC807" s="149"/>
      <c r="AD807" s="149"/>
      <c r="AE807" s="149"/>
      <c r="AF807" s="149"/>
      <c r="AG807" s="149"/>
      <c r="AH807" s="149"/>
      <c r="AI807" s="149"/>
    </row>
    <row r="808" spans="1:35" ht="60">
      <c r="A808" s="146" t="s">
        <v>49</v>
      </c>
      <c r="B808" s="147">
        <v>563</v>
      </c>
      <c r="C808" s="253" t="s">
        <v>39</v>
      </c>
      <c r="D808" s="151">
        <v>3291</v>
      </c>
      <c r="E808" s="227" t="s">
        <v>713</v>
      </c>
      <c r="F808" s="148" t="s">
        <v>689</v>
      </c>
      <c r="G808" s="883"/>
      <c r="H808" s="879"/>
      <c r="I808" s="880"/>
      <c r="J808" s="149"/>
      <c r="K808" s="149"/>
      <c r="L808" s="149"/>
      <c r="M808" s="149"/>
      <c r="N808" s="149"/>
      <c r="O808" s="149"/>
      <c r="P808" s="149"/>
      <c r="Q808" s="149"/>
      <c r="R808" s="149"/>
      <c r="S808" s="149"/>
      <c r="T808" s="149"/>
      <c r="U808" s="149"/>
      <c r="V808" s="149"/>
      <c r="W808" s="149"/>
      <c r="X808" s="149"/>
      <c r="Y808" s="149"/>
      <c r="Z808" s="149"/>
      <c r="AA808" s="149"/>
      <c r="AB808" s="149"/>
      <c r="AC808" s="149"/>
      <c r="AD808" s="149"/>
      <c r="AE808" s="149"/>
      <c r="AF808" s="149"/>
      <c r="AG808" s="149"/>
      <c r="AH808" s="149"/>
      <c r="AI808" s="149"/>
    </row>
    <row r="809" spans="1:35" ht="48">
      <c r="A809" s="146" t="s">
        <v>49</v>
      </c>
      <c r="B809" s="147">
        <v>563</v>
      </c>
      <c r="C809" s="253" t="s">
        <v>39</v>
      </c>
      <c r="D809" s="151">
        <v>3292</v>
      </c>
      <c r="E809" s="227" t="s">
        <v>59</v>
      </c>
      <c r="F809" s="148" t="s">
        <v>689</v>
      </c>
      <c r="G809" s="883"/>
      <c r="H809" s="879"/>
      <c r="I809" s="880"/>
      <c r="J809" s="149"/>
      <c r="K809" s="149"/>
      <c r="L809" s="149"/>
      <c r="M809" s="149"/>
      <c r="N809" s="149"/>
      <c r="O809" s="149"/>
      <c r="P809" s="149"/>
      <c r="Q809" s="149"/>
      <c r="R809" s="149"/>
      <c r="S809" s="149"/>
      <c r="T809" s="149"/>
      <c r="U809" s="149"/>
      <c r="V809" s="149"/>
      <c r="W809" s="149"/>
      <c r="X809" s="149"/>
      <c r="Y809" s="149"/>
      <c r="Z809" s="149"/>
      <c r="AA809" s="149"/>
      <c r="AB809" s="149"/>
      <c r="AC809" s="149"/>
      <c r="AD809" s="149"/>
      <c r="AE809" s="149"/>
      <c r="AF809" s="149"/>
      <c r="AG809" s="149"/>
      <c r="AH809" s="149"/>
      <c r="AI809" s="149"/>
    </row>
    <row r="810" spans="1:35" ht="48">
      <c r="A810" s="146" t="s">
        <v>49</v>
      </c>
      <c r="B810" s="147">
        <v>563</v>
      </c>
      <c r="C810" s="253" t="s">
        <v>39</v>
      </c>
      <c r="D810" s="151">
        <v>3293</v>
      </c>
      <c r="E810" s="227" t="s">
        <v>68</v>
      </c>
      <c r="F810" s="148" t="s">
        <v>689</v>
      </c>
      <c r="G810" s="883"/>
      <c r="H810" s="879"/>
      <c r="I810" s="880"/>
      <c r="J810" s="149"/>
      <c r="K810" s="149"/>
      <c r="L810" s="149"/>
      <c r="M810" s="149"/>
      <c r="N810" s="149"/>
      <c r="O810" s="149"/>
      <c r="P810" s="149"/>
      <c r="Q810" s="149"/>
      <c r="R810" s="149"/>
      <c r="S810" s="149"/>
      <c r="T810" s="149"/>
      <c r="U810" s="149"/>
      <c r="V810" s="149"/>
      <c r="W810" s="149"/>
      <c r="X810" s="149"/>
      <c r="Y810" s="149"/>
      <c r="Z810" s="149"/>
      <c r="AA810" s="149"/>
      <c r="AB810" s="149"/>
      <c r="AC810" s="149"/>
      <c r="AD810" s="149"/>
      <c r="AE810" s="149"/>
      <c r="AF810" s="149"/>
      <c r="AG810" s="149"/>
      <c r="AH810" s="149"/>
      <c r="AI810" s="149"/>
    </row>
    <row r="811" spans="1:35" ht="48">
      <c r="A811" s="146" t="s">
        <v>49</v>
      </c>
      <c r="B811" s="147">
        <v>563</v>
      </c>
      <c r="C811" s="253" t="s">
        <v>39</v>
      </c>
      <c r="D811" s="151">
        <v>3294</v>
      </c>
      <c r="E811" s="227" t="s">
        <v>69</v>
      </c>
      <c r="F811" s="148" t="s">
        <v>689</v>
      </c>
      <c r="G811" s="883"/>
      <c r="H811" s="879"/>
      <c r="I811" s="880"/>
      <c r="J811" s="149"/>
      <c r="K811" s="149"/>
      <c r="L811" s="149"/>
      <c r="M811" s="149"/>
      <c r="N811" s="149"/>
      <c r="O811" s="149"/>
      <c r="P811" s="149"/>
      <c r="Q811" s="149"/>
      <c r="R811" s="149"/>
      <c r="S811" s="149"/>
      <c r="T811" s="149"/>
      <c r="U811" s="149"/>
      <c r="V811" s="149"/>
      <c r="W811" s="149"/>
      <c r="X811" s="149"/>
      <c r="Y811" s="149"/>
      <c r="Z811" s="149"/>
      <c r="AA811" s="149"/>
      <c r="AB811" s="149"/>
      <c r="AC811" s="149"/>
      <c r="AD811" s="149"/>
      <c r="AE811" s="149"/>
      <c r="AF811" s="149"/>
      <c r="AG811" s="149"/>
      <c r="AH811" s="149"/>
      <c r="AI811" s="149"/>
    </row>
    <row r="812" spans="1:35" ht="48">
      <c r="A812" s="146" t="s">
        <v>49</v>
      </c>
      <c r="B812" s="147">
        <v>563</v>
      </c>
      <c r="C812" s="253" t="s">
        <v>39</v>
      </c>
      <c r="D812" s="151">
        <v>3295</v>
      </c>
      <c r="E812" s="227" t="s">
        <v>55</v>
      </c>
      <c r="F812" s="148" t="s">
        <v>689</v>
      </c>
      <c r="G812" s="883"/>
      <c r="H812" s="879"/>
      <c r="I812" s="880"/>
      <c r="J812" s="149"/>
      <c r="K812" s="149"/>
      <c r="L812" s="149"/>
      <c r="M812" s="149"/>
      <c r="N812" s="149"/>
      <c r="O812" s="149"/>
      <c r="P812" s="149"/>
      <c r="Q812" s="149"/>
      <c r="R812" s="149"/>
      <c r="S812" s="149"/>
      <c r="T812" s="149"/>
      <c r="U812" s="149"/>
      <c r="V812" s="149"/>
      <c r="W812" s="149"/>
      <c r="X812" s="149"/>
      <c r="Y812" s="149"/>
      <c r="Z812" s="149"/>
      <c r="AA812" s="149"/>
      <c r="AB812" s="149"/>
      <c r="AC812" s="149"/>
      <c r="AD812" s="149"/>
      <c r="AE812" s="149"/>
      <c r="AF812" s="149"/>
      <c r="AG812" s="149"/>
      <c r="AH812" s="149"/>
      <c r="AI812" s="149"/>
    </row>
    <row r="813" spans="1:35" ht="48">
      <c r="A813" s="146" t="s">
        <v>49</v>
      </c>
      <c r="B813" s="147">
        <v>563</v>
      </c>
      <c r="C813" s="253" t="s">
        <v>39</v>
      </c>
      <c r="D813" s="151">
        <v>3296</v>
      </c>
      <c r="E813" s="227" t="s">
        <v>97</v>
      </c>
      <c r="F813" s="148" t="s">
        <v>689</v>
      </c>
      <c r="G813" s="883"/>
      <c r="H813" s="879"/>
      <c r="I813" s="880"/>
      <c r="J813" s="149"/>
      <c r="K813" s="149"/>
      <c r="L813" s="149"/>
      <c r="M813" s="149"/>
      <c r="N813" s="149"/>
      <c r="O813" s="149"/>
      <c r="P813" s="149"/>
      <c r="Q813" s="149"/>
      <c r="R813" s="149"/>
      <c r="S813" s="149"/>
      <c r="T813" s="149"/>
      <c r="U813" s="149"/>
      <c r="V813" s="149"/>
      <c r="W813" s="149"/>
      <c r="X813" s="149"/>
      <c r="Y813" s="149"/>
      <c r="Z813" s="149"/>
      <c r="AA813" s="149"/>
      <c r="AB813" s="149"/>
      <c r="AC813" s="149"/>
      <c r="AD813" s="149"/>
      <c r="AE813" s="149"/>
      <c r="AF813" s="149"/>
      <c r="AG813" s="149"/>
      <c r="AH813" s="149"/>
      <c r="AI813" s="149"/>
    </row>
    <row r="814" spans="1:35" ht="48">
      <c r="A814" s="146" t="s">
        <v>49</v>
      </c>
      <c r="B814" s="147">
        <v>563</v>
      </c>
      <c r="C814" s="253" t="s">
        <v>39</v>
      </c>
      <c r="D814" s="151">
        <v>3299</v>
      </c>
      <c r="E814" s="227" t="s">
        <v>57</v>
      </c>
      <c r="F814" s="148" t="s">
        <v>689</v>
      </c>
      <c r="G814" s="883"/>
      <c r="H814" s="879"/>
      <c r="I814" s="880"/>
      <c r="J814" s="149"/>
      <c r="K814" s="149"/>
      <c r="L814" s="149"/>
      <c r="M814" s="149"/>
      <c r="N814" s="149"/>
      <c r="O814" s="149"/>
      <c r="P814" s="149"/>
      <c r="Q814" s="149"/>
      <c r="R814" s="149"/>
      <c r="S814" s="149"/>
      <c r="T814" s="149"/>
      <c r="U814" s="149"/>
      <c r="V814" s="149"/>
      <c r="W814" s="149"/>
      <c r="X814" s="149"/>
      <c r="Y814" s="149"/>
      <c r="Z814" s="149"/>
      <c r="AA814" s="149"/>
      <c r="AB814" s="149"/>
      <c r="AC814" s="149"/>
      <c r="AD814" s="149"/>
      <c r="AE814" s="149"/>
      <c r="AF814" s="149"/>
      <c r="AG814" s="149"/>
      <c r="AH814" s="149"/>
      <c r="AI814" s="149"/>
    </row>
    <row r="815" spans="1:35" ht="60">
      <c r="A815" s="146" t="s">
        <v>49</v>
      </c>
      <c r="B815" s="147">
        <v>563</v>
      </c>
      <c r="C815" s="253" t="s">
        <v>39</v>
      </c>
      <c r="D815" s="151">
        <v>3431</v>
      </c>
      <c r="E815" s="227" t="s">
        <v>70</v>
      </c>
      <c r="F815" s="148" t="s">
        <v>689</v>
      </c>
      <c r="G815" s="883"/>
      <c r="H815" s="879"/>
      <c r="I815" s="880"/>
      <c r="J815" s="149"/>
      <c r="K815" s="149"/>
      <c r="L815" s="149"/>
      <c r="M815" s="149"/>
      <c r="N815" s="149"/>
      <c r="O815" s="149"/>
      <c r="P815" s="149"/>
      <c r="Q815" s="149"/>
      <c r="R815" s="149"/>
      <c r="S815" s="149"/>
      <c r="T815" s="149"/>
      <c r="U815" s="149"/>
      <c r="V815" s="149"/>
      <c r="W815" s="149"/>
      <c r="X815" s="149"/>
      <c r="Y815" s="149"/>
      <c r="Z815" s="149"/>
      <c r="AA815" s="149"/>
      <c r="AB815" s="149"/>
      <c r="AC815" s="149"/>
      <c r="AD815" s="149"/>
      <c r="AE815" s="149"/>
      <c r="AF815" s="149"/>
      <c r="AG815" s="149"/>
      <c r="AH815" s="149"/>
      <c r="AI815" s="149"/>
    </row>
    <row r="816" spans="1:35" ht="72">
      <c r="A816" s="146" t="s">
        <v>49</v>
      </c>
      <c r="B816" s="147">
        <v>563</v>
      </c>
      <c r="C816" s="253" t="s">
        <v>39</v>
      </c>
      <c r="D816" s="151">
        <v>3432</v>
      </c>
      <c r="E816" s="227" t="s">
        <v>71</v>
      </c>
      <c r="F816" s="148" t="s">
        <v>689</v>
      </c>
      <c r="G816" s="883"/>
      <c r="H816" s="879"/>
      <c r="I816" s="880"/>
      <c r="J816" s="149"/>
      <c r="K816" s="149"/>
      <c r="L816" s="149"/>
      <c r="M816" s="149"/>
      <c r="N816" s="149"/>
      <c r="O816" s="149"/>
      <c r="P816" s="149"/>
      <c r="Q816" s="149"/>
      <c r="R816" s="149"/>
      <c r="S816" s="149"/>
      <c r="T816" s="149"/>
      <c r="U816" s="149"/>
      <c r="V816" s="149"/>
      <c r="W816" s="149"/>
      <c r="X816" s="149"/>
      <c r="Y816" s="149"/>
      <c r="Z816" s="149"/>
      <c r="AA816" s="149"/>
      <c r="AB816" s="149"/>
      <c r="AC816" s="149"/>
      <c r="AD816" s="149"/>
      <c r="AE816" s="149"/>
      <c r="AF816" s="149"/>
      <c r="AG816" s="149"/>
      <c r="AH816" s="149"/>
      <c r="AI816" s="149"/>
    </row>
    <row r="817" spans="1:35" ht="48">
      <c r="A817" s="146" t="s">
        <v>49</v>
      </c>
      <c r="B817" s="147">
        <v>563</v>
      </c>
      <c r="C817" s="253" t="s">
        <v>39</v>
      </c>
      <c r="D817" s="151">
        <v>3433</v>
      </c>
      <c r="E817" s="227" t="s">
        <v>725</v>
      </c>
      <c r="F817" s="148" t="s">
        <v>689</v>
      </c>
      <c r="G817" s="883"/>
      <c r="H817" s="879"/>
      <c r="I817" s="880"/>
      <c r="J817" s="149"/>
      <c r="K817" s="149"/>
      <c r="L817" s="149"/>
      <c r="M817" s="149"/>
      <c r="N817" s="149"/>
      <c r="O817" s="149"/>
      <c r="P817" s="149"/>
      <c r="Q817" s="149"/>
      <c r="R817" s="149"/>
      <c r="S817" s="149"/>
      <c r="T817" s="149"/>
      <c r="U817" s="149"/>
      <c r="V817" s="149"/>
      <c r="W817" s="149"/>
      <c r="X817" s="149"/>
      <c r="Y817" s="149"/>
      <c r="Z817" s="149"/>
      <c r="AA817" s="149"/>
      <c r="AB817" s="149"/>
      <c r="AC817" s="149"/>
      <c r="AD817" s="149"/>
      <c r="AE817" s="149"/>
      <c r="AF817" s="149"/>
      <c r="AG817" s="149"/>
      <c r="AH817" s="149"/>
      <c r="AI817" s="149"/>
    </row>
    <row r="818" spans="1:35" ht="48">
      <c r="A818" s="146" t="s">
        <v>49</v>
      </c>
      <c r="B818" s="147">
        <v>563</v>
      </c>
      <c r="C818" s="253" t="s">
        <v>39</v>
      </c>
      <c r="D818" s="151">
        <v>3434</v>
      </c>
      <c r="E818" s="227" t="s">
        <v>94</v>
      </c>
      <c r="F818" s="148" t="s">
        <v>689</v>
      </c>
      <c r="G818" s="883"/>
      <c r="H818" s="879"/>
      <c r="I818" s="880"/>
      <c r="J818" s="149"/>
      <c r="K818" s="149"/>
      <c r="L818" s="149"/>
      <c r="M818" s="149"/>
      <c r="N818" s="149"/>
      <c r="O818" s="149"/>
      <c r="P818" s="149"/>
      <c r="Q818" s="149"/>
      <c r="R818" s="149"/>
      <c r="S818" s="149"/>
      <c r="T818" s="149"/>
      <c r="U818" s="149"/>
      <c r="V818" s="149"/>
      <c r="W818" s="149"/>
      <c r="X818" s="149"/>
      <c r="Y818" s="149"/>
      <c r="Z818" s="149"/>
      <c r="AA818" s="149"/>
      <c r="AB818" s="149"/>
      <c r="AC818" s="149"/>
      <c r="AD818" s="149"/>
      <c r="AE818" s="149"/>
      <c r="AF818" s="149"/>
      <c r="AG818" s="149"/>
      <c r="AH818" s="149"/>
      <c r="AI818" s="149"/>
    </row>
    <row r="819" spans="1:35" ht="48">
      <c r="A819" s="146" t="s">
        <v>49</v>
      </c>
      <c r="B819" s="147">
        <v>563</v>
      </c>
      <c r="C819" s="253" t="s">
        <v>39</v>
      </c>
      <c r="D819" s="151">
        <v>3522</v>
      </c>
      <c r="E819" s="227" t="s">
        <v>755</v>
      </c>
      <c r="F819" s="148" t="s">
        <v>689</v>
      </c>
      <c r="G819" s="883"/>
      <c r="H819" s="879"/>
      <c r="I819" s="880"/>
      <c r="J819" s="149"/>
      <c r="K819" s="149"/>
      <c r="L819" s="149"/>
      <c r="M819" s="149"/>
      <c r="N819" s="149"/>
      <c r="O819" s="149"/>
      <c r="P819" s="149"/>
      <c r="Q819" s="149"/>
      <c r="R819" s="149"/>
      <c r="S819" s="149"/>
      <c r="T819" s="149"/>
      <c r="U819" s="149"/>
      <c r="V819" s="149"/>
      <c r="W819" s="149"/>
      <c r="X819" s="149"/>
      <c r="Y819" s="149"/>
      <c r="Z819" s="149"/>
      <c r="AA819" s="149"/>
      <c r="AB819" s="149"/>
      <c r="AC819" s="149"/>
      <c r="AD819" s="149"/>
      <c r="AE819" s="149"/>
      <c r="AF819" s="149"/>
      <c r="AG819" s="149"/>
      <c r="AH819" s="149"/>
      <c r="AI819" s="149"/>
    </row>
    <row r="820" spans="1:35" ht="84">
      <c r="A820" s="146" t="s">
        <v>49</v>
      </c>
      <c r="B820" s="147">
        <v>563</v>
      </c>
      <c r="C820" s="253" t="s">
        <v>39</v>
      </c>
      <c r="D820" s="151">
        <v>3691</v>
      </c>
      <c r="E820" s="227" t="s">
        <v>36</v>
      </c>
      <c r="F820" s="148" t="s">
        <v>689</v>
      </c>
      <c r="G820" s="883"/>
      <c r="H820" s="879"/>
      <c r="I820" s="880"/>
      <c r="J820" s="149"/>
      <c r="K820" s="149"/>
      <c r="L820" s="149"/>
      <c r="M820" s="149"/>
      <c r="N820" s="149"/>
      <c r="O820" s="149"/>
      <c r="P820" s="149"/>
      <c r="Q820" s="149"/>
      <c r="R820" s="149"/>
      <c r="S820" s="149"/>
      <c r="T820" s="149"/>
      <c r="U820" s="149"/>
      <c r="V820" s="149"/>
      <c r="W820" s="149"/>
      <c r="X820" s="149"/>
      <c r="Y820" s="149"/>
      <c r="Z820" s="149"/>
      <c r="AA820" s="149"/>
      <c r="AB820" s="149"/>
      <c r="AC820" s="149"/>
      <c r="AD820" s="149"/>
      <c r="AE820" s="149"/>
      <c r="AF820" s="149"/>
      <c r="AG820" s="149"/>
      <c r="AH820" s="149"/>
      <c r="AI820" s="149"/>
    </row>
    <row r="821" spans="1:35" ht="84">
      <c r="A821" s="146" t="s">
        <v>49</v>
      </c>
      <c r="B821" s="147">
        <v>563</v>
      </c>
      <c r="C821" s="253" t="s">
        <v>39</v>
      </c>
      <c r="D821" s="151">
        <v>3692</v>
      </c>
      <c r="E821" s="227" t="s">
        <v>695</v>
      </c>
      <c r="F821" s="148" t="s">
        <v>689</v>
      </c>
      <c r="G821" s="883"/>
      <c r="H821" s="879"/>
      <c r="I821" s="880"/>
      <c r="J821" s="149"/>
      <c r="K821" s="149"/>
      <c r="L821" s="149"/>
      <c r="M821" s="149"/>
      <c r="N821" s="149"/>
      <c r="O821" s="149"/>
      <c r="P821" s="149"/>
      <c r="Q821" s="149"/>
      <c r="R821" s="149"/>
      <c r="S821" s="149"/>
      <c r="T821" s="149"/>
      <c r="U821" s="149"/>
      <c r="V821" s="149"/>
      <c r="W821" s="149"/>
      <c r="X821" s="149"/>
      <c r="Y821" s="149"/>
      <c r="Z821" s="149"/>
      <c r="AA821" s="149"/>
      <c r="AB821" s="149"/>
      <c r="AC821" s="149"/>
      <c r="AD821" s="149"/>
      <c r="AE821" s="149"/>
      <c r="AF821" s="149"/>
      <c r="AG821" s="149"/>
      <c r="AH821" s="149"/>
      <c r="AI821" s="149"/>
    </row>
    <row r="822" spans="1:35" ht="120">
      <c r="A822" s="848" t="s">
        <v>49</v>
      </c>
      <c r="B822" s="849">
        <v>563</v>
      </c>
      <c r="C822" s="850" t="s">
        <v>39</v>
      </c>
      <c r="D822" s="854">
        <v>3693</v>
      </c>
      <c r="E822" s="855" t="s">
        <v>37</v>
      </c>
      <c r="F822" s="862" t="s">
        <v>689</v>
      </c>
      <c r="G822" s="883"/>
      <c r="H822" s="879"/>
      <c r="I822" s="880"/>
      <c r="J822" s="149"/>
      <c r="K822" s="149"/>
      <c r="L822" s="149"/>
      <c r="M822" s="149"/>
      <c r="N822" s="149"/>
      <c r="O822" s="149"/>
      <c r="P822" s="149"/>
      <c r="Q822" s="149"/>
      <c r="R822" s="149"/>
      <c r="S822" s="149"/>
      <c r="T822" s="149"/>
      <c r="U822" s="149"/>
      <c r="V822" s="149"/>
      <c r="W822" s="149"/>
      <c r="X822" s="149"/>
      <c r="Y822" s="149"/>
      <c r="Z822" s="149"/>
      <c r="AA822" s="149"/>
      <c r="AB822" s="149"/>
      <c r="AC822" s="149"/>
      <c r="AD822" s="149"/>
      <c r="AE822" s="149"/>
      <c r="AF822" s="149"/>
      <c r="AG822" s="149"/>
      <c r="AH822" s="149"/>
      <c r="AI822" s="149"/>
    </row>
    <row r="823" spans="1:35" ht="48">
      <c r="A823" s="146" t="s">
        <v>49</v>
      </c>
      <c r="B823" s="147">
        <v>563</v>
      </c>
      <c r="C823" s="253" t="s">
        <v>39</v>
      </c>
      <c r="D823" s="151">
        <v>3721</v>
      </c>
      <c r="E823" s="227" t="s">
        <v>84</v>
      </c>
      <c r="F823" s="148" t="s">
        <v>689</v>
      </c>
      <c r="G823" s="883"/>
      <c r="H823" s="879"/>
      <c r="I823" s="880"/>
      <c r="J823" s="149"/>
      <c r="K823" s="149"/>
      <c r="L823" s="149"/>
      <c r="M823" s="149"/>
      <c r="N823" s="149"/>
      <c r="O823" s="149"/>
      <c r="P823" s="149"/>
      <c r="Q823" s="149"/>
      <c r="R823" s="149"/>
      <c r="S823" s="149"/>
      <c r="T823" s="149"/>
      <c r="U823" s="149"/>
      <c r="V823" s="149"/>
      <c r="W823" s="149"/>
      <c r="X823" s="149"/>
      <c r="Y823" s="149"/>
      <c r="Z823" s="149"/>
      <c r="AA823" s="149"/>
      <c r="AB823" s="149"/>
      <c r="AC823" s="149"/>
      <c r="AD823" s="149"/>
      <c r="AE823" s="149"/>
      <c r="AF823" s="149"/>
      <c r="AG823" s="149"/>
      <c r="AH823" s="149"/>
      <c r="AI823" s="149"/>
    </row>
    <row r="824" spans="1:35" ht="48">
      <c r="A824" s="146" t="s">
        <v>49</v>
      </c>
      <c r="B824" s="147">
        <v>563</v>
      </c>
      <c r="C824" s="253" t="s">
        <v>39</v>
      </c>
      <c r="D824" s="151">
        <v>3811</v>
      </c>
      <c r="E824" s="227" t="s">
        <v>56</v>
      </c>
      <c r="F824" s="148" t="s">
        <v>689</v>
      </c>
      <c r="G824" s="883"/>
      <c r="H824" s="879"/>
      <c r="I824" s="880"/>
      <c r="J824" s="149"/>
      <c r="K824" s="149"/>
      <c r="L824" s="149"/>
      <c r="M824" s="149"/>
      <c r="N824" s="149"/>
      <c r="O824" s="149"/>
      <c r="P824" s="149"/>
      <c r="Q824" s="149"/>
      <c r="R824" s="149"/>
      <c r="S824" s="149"/>
      <c r="T824" s="149"/>
      <c r="U824" s="149"/>
      <c r="V824" s="149"/>
      <c r="W824" s="149"/>
      <c r="X824" s="149"/>
      <c r="Y824" s="149"/>
      <c r="Z824" s="149"/>
      <c r="AA824" s="149"/>
      <c r="AB824" s="149"/>
      <c r="AC824" s="149"/>
      <c r="AD824" s="149"/>
      <c r="AE824" s="149"/>
      <c r="AF824" s="149"/>
      <c r="AG824" s="149"/>
      <c r="AH824" s="149"/>
      <c r="AI824" s="149"/>
    </row>
    <row r="825" spans="1:35" ht="48">
      <c r="A825" s="146" t="s">
        <v>49</v>
      </c>
      <c r="B825" s="147">
        <v>563</v>
      </c>
      <c r="C825" s="253" t="s">
        <v>39</v>
      </c>
      <c r="D825" s="151">
        <v>383</v>
      </c>
      <c r="E825" s="227" t="s">
        <v>756</v>
      </c>
      <c r="F825" s="148" t="s">
        <v>689</v>
      </c>
      <c r="G825" s="883"/>
      <c r="H825" s="879"/>
      <c r="I825" s="880"/>
      <c r="J825" s="149"/>
      <c r="K825" s="149"/>
      <c r="L825" s="149"/>
      <c r="M825" s="149"/>
      <c r="N825" s="149"/>
      <c r="O825" s="149"/>
      <c r="P825" s="149"/>
      <c r="Q825" s="149"/>
      <c r="R825" s="149"/>
      <c r="S825" s="149"/>
      <c r="T825" s="149"/>
      <c r="U825" s="149"/>
      <c r="V825" s="149"/>
      <c r="W825" s="149"/>
      <c r="X825" s="149"/>
      <c r="Y825" s="149"/>
      <c r="Z825" s="149"/>
      <c r="AA825" s="149"/>
      <c r="AB825" s="149"/>
      <c r="AC825" s="149"/>
      <c r="AD825" s="149"/>
      <c r="AE825" s="149"/>
      <c r="AF825" s="149"/>
      <c r="AG825" s="149"/>
      <c r="AH825" s="149"/>
      <c r="AI825" s="149"/>
    </row>
    <row r="826" spans="1:35" ht="48">
      <c r="A826" s="146" t="s">
        <v>49</v>
      </c>
      <c r="B826" s="147">
        <v>563</v>
      </c>
      <c r="C826" s="253" t="s">
        <v>39</v>
      </c>
      <c r="D826" s="151">
        <v>4123</v>
      </c>
      <c r="E826" s="227" t="s">
        <v>92</v>
      </c>
      <c r="F826" s="148" t="s">
        <v>689</v>
      </c>
      <c r="G826" s="883"/>
      <c r="H826" s="879"/>
      <c r="I826" s="880"/>
      <c r="J826" s="149"/>
      <c r="K826" s="149"/>
      <c r="L826" s="149"/>
      <c r="M826" s="149"/>
      <c r="N826" s="149"/>
      <c r="O826" s="149"/>
      <c r="P826" s="149"/>
      <c r="Q826" s="149"/>
      <c r="R826" s="149"/>
      <c r="S826" s="149"/>
      <c r="T826" s="149"/>
      <c r="U826" s="149"/>
      <c r="V826" s="149"/>
      <c r="W826" s="149"/>
      <c r="X826" s="149"/>
      <c r="Y826" s="149"/>
      <c r="Z826" s="149"/>
      <c r="AA826" s="149"/>
      <c r="AB826" s="149"/>
      <c r="AC826" s="149"/>
      <c r="AD826" s="149"/>
      <c r="AE826" s="149"/>
      <c r="AF826" s="149"/>
      <c r="AG826" s="149"/>
      <c r="AH826" s="149"/>
      <c r="AI826" s="149"/>
    </row>
    <row r="827" spans="1:35" ht="60">
      <c r="A827" s="146" t="s">
        <v>49</v>
      </c>
      <c r="B827" s="147">
        <v>563</v>
      </c>
      <c r="C827" s="253" t="s">
        <v>39</v>
      </c>
      <c r="D827" s="151">
        <v>4124</v>
      </c>
      <c r="E827" s="227" t="s">
        <v>721</v>
      </c>
      <c r="F827" s="148" t="s">
        <v>689</v>
      </c>
      <c r="G827" s="883"/>
      <c r="H827" s="879"/>
      <c r="I827" s="880"/>
      <c r="J827" s="149"/>
      <c r="K827" s="149"/>
      <c r="L827" s="149"/>
      <c r="M827" s="149"/>
      <c r="N827" s="149"/>
      <c r="O827" s="149"/>
      <c r="P827" s="149"/>
      <c r="Q827" s="149"/>
      <c r="R827" s="149"/>
      <c r="S827" s="149"/>
      <c r="T827" s="149"/>
      <c r="U827" s="149"/>
      <c r="V827" s="149"/>
      <c r="W827" s="149"/>
      <c r="X827" s="149"/>
      <c r="Y827" s="149"/>
      <c r="Z827" s="149"/>
      <c r="AA827" s="149"/>
      <c r="AB827" s="149"/>
      <c r="AC827" s="149"/>
      <c r="AD827" s="149"/>
      <c r="AE827" s="149"/>
      <c r="AF827" s="149"/>
      <c r="AG827" s="149"/>
      <c r="AH827" s="149"/>
      <c r="AI827" s="149"/>
    </row>
    <row r="828" spans="1:35" ht="48">
      <c r="A828" s="146" t="s">
        <v>49</v>
      </c>
      <c r="B828" s="147">
        <v>563</v>
      </c>
      <c r="C828" s="253" t="s">
        <v>39</v>
      </c>
      <c r="D828" s="151">
        <v>4126</v>
      </c>
      <c r="E828" s="227" t="s">
        <v>757</v>
      </c>
      <c r="F828" s="148" t="s">
        <v>689</v>
      </c>
      <c r="G828" s="883"/>
      <c r="H828" s="879"/>
      <c r="I828" s="880"/>
      <c r="J828" s="149"/>
      <c r="K828" s="149"/>
      <c r="L828" s="149"/>
      <c r="M828" s="149"/>
      <c r="N828" s="149"/>
      <c r="O828" s="149"/>
      <c r="P828" s="149"/>
      <c r="Q828" s="149"/>
      <c r="R828" s="149"/>
      <c r="S828" s="149"/>
      <c r="T828" s="149"/>
      <c r="U828" s="149"/>
      <c r="V828" s="149"/>
      <c r="W828" s="149"/>
      <c r="X828" s="149"/>
      <c r="Y828" s="149"/>
      <c r="Z828" s="149"/>
      <c r="AA828" s="149"/>
      <c r="AB828" s="149"/>
      <c r="AC828" s="149"/>
      <c r="AD828" s="149"/>
      <c r="AE828" s="149"/>
      <c r="AF828" s="149"/>
      <c r="AG828" s="149"/>
      <c r="AH828" s="149"/>
      <c r="AI828" s="149"/>
    </row>
    <row r="829" spans="1:35" ht="48">
      <c r="A829" s="146" t="s">
        <v>49</v>
      </c>
      <c r="B829" s="147">
        <v>563</v>
      </c>
      <c r="C829" s="253" t="s">
        <v>39</v>
      </c>
      <c r="D829" s="151">
        <v>4212</v>
      </c>
      <c r="E829" s="227" t="s">
        <v>58</v>
      </c>
      <c r="F829" s="148" t="s">
        <v>689</v>
      </c>
      <c r="G829" s="883"/>
      <c r="H829" s="879"/>
      <c r="I829" s="880"/>
      <c r="J829" s="149"/>
      <c r="K829" s="149"/>
      <c r="L829" s="149"/>
      <c r="M829" s="149"/>
      <c r="N829" s="149"/>
      <c r="O829" s="149"/>
      <c r="P829" s="149"/>
      <c r="Q829" s="149"/>
      <c r="R829" s="149"/>
      <c r="S829" s="149"/>
      <c r="T829" s="149"/>
      <c r="U829" s="149"/>
      <c r="V829" s="149"/>
      <c r="W829" s="149"/>
      <c r="X829" s="149"/>
      <c r="Y829" s="149"/>
      <c r="Z829" s="149"/>
      <c r="AA829" s="149"/>
      <c r="AB829" s="149"/>
      <c r="AC829" s="149"/>
      <c r="AD829" s="149"/>
      <c r="AE829" s="149"/>
      <c r="AF829" s="149"/>
      <c r="AG829" s="149"/>
      <c r="AH829" s="149"/>
      <c r="AI829" s="149"/>
    </row>
    <row r="830" spans="1:35" ht="60">
      <c r="A830" s="146" t="s">
        <v>49</v>
      </c>
      <c r="B830" s="147">
        <v>563</v>
      </c>
      <c r="C830" s="253" t="s">
        <v>39</v>
      </c>
      <c r="D830" s="151">
        <v>4213</v>
      </c>
      <c r="E830" s="227" t="s">
        <v>758</v>
      </c>
      <c r="F830" s="148" t="s">
        <v>689</v>
      </c>
      <c r="G830" s="883"/>
      <c r="H830" s="879"/>
      <c r="I830" s="880"/>
      <c r="J830" s="149"/>
      <c r="K830" s="149"/>
      <c r="L830" s="149"/>
      <c r="M830" s="149"/>
      <c r="N830" s="149"/>
      <c r="O830" s="149"/>
      <c r="P830" s="149"/>
      <c r="Q830" s="149"/>
      <c r="R830" s="149"/>
      <c r="S830" s="149"/>
      <c r="T830" s="149"/>
      <c r="U830" s="149"/>
      <c r="V830" s="149"/>
      <c r="W830" s="149"/>
      <c r="X830" s="149"/>
      <c r="Y830" s="149"/>
      <c r="Z830" s="149"/>
      <c r="AA830" s="149"/>
      <c r="AB830" s="149"/>
      <c r="AC830" s="149"/>
      <c r="AD830" s="149"/>
      <c r="AE830" s="149"/>
      <c r="AF830" s="149"/>
      <c r="AG830" s="149"/>
      <c r="AH830" s="149"/>
      <c r="AI830" s="149"/>
    </row>
    <row r="831" spans="1:35" ht="48">
      <c r="A831" s="146" t="s">
        <v>49</v>
      </c>
      <c r="B831" s="147">
        <v>563</v>
      </c>
      <c r="C831" s="253" t="s">
        <v>39</v>
      </c>
      <c r="D831" s="151">
        <v>4214</v>
      </c>
      <c r="E831" s="227" t="s">
        <v>719</v>
      </c>
      <c r="F831" s="148" t="s">
        <v>689</v>
      </c>
      <c r="G831" s="883"/>
      <c r="H831" s="879"/>
      <c r="I831" s="880"/>
      <c r="J831" s="149"/>
      <c r="K831" s="149"/>
      <c r="L831" s="149"/>
      <c r="M831" s="149"/>
      <c r="N831" s="149"/>
      <c r="O831" s="149"/>
      <c r="P831" s="149"/>
      <c r="Q831" s="149"/>
      <c r="R831" s="149"/>
      <c r="S831" s="149"/>
      <c r="T831" s="149"/>
      <c r="U831" s="149"/>
      <c r="V831" s="149"/>
      <c r="W831" s="149"/>
      <c r="X831" s="149"/>
      <c r="Y831" s="149"/>
      <c r="Z831" s="149"/>
      <c r="AA831" s="149"/>
      <c r="AB831" s="149"/>
      <c r="AC831" s="149"/>
      <c r="AD831" s="149"/>
      <c r="AE831" s="149"/>
      <c r="AF831" s="149"/>
      <c r="AG831" s="149"/>
      <c r="AH831" s="149"/>
      <c r="AI831" s="149"/>
    </row>
    <row r="832" spans="1:35" ht="48">
      <c r="A832" s="150" t="s">
        <v>49</v>
      </c>
      <c r="B832" s="151">
        <v>563</v>
      </c>
      <c r="C832" s="254" t="s">
        <v>39</v>
      </c>
      <c r="D832" s="151">
        <v>4221</v>
      </c>
      <c r="E832" s="227" t="s">
        <v>63</v>
      </c>
      <c r="F832" s="153" t="s">
        <v>689</v>
      </c>
      <c r="G832" s="883"/>
      <c r="H832" s="879"/>
      <c r="I832" s="880"/>
      <c r="J832" s="149"/>
      <c r="K832" s="149"/>
      <c r="L832" s="149"/>
      <c r="M832" s="149"/>
      <c r="N832" s="149"/>
      <c r="O832" s="149"/>
      <c r="P832" s="149"/>
      <c r="Q832" s="149"/>
      <c r="R832" s="149"/>
      <c r="S832" s="149"/>
      <c r="T832" s="149"/>
      <c r="U832" s="149"/>
      <c r="V832" s="149"/>
      <c r="W832" s="149"/>
      <c r="X832" s="149"/>
      <c r="Y832" s="149"/>
      <c r="Z832" s="149"/>
      <c r="AA832" s="149"/>
      <c r="AB832" s="149"/>
      <c r="AC832" s="149"/>
      <c r="AD832" s="149"/>
      <c r="AE832" s="149"/>
      <c r="AF832" s="149"/>
      <c r="AG832" s="149"/>
      <c r="AH832" s="149"/>
      <c r="AI832" s="149"/>
    </row>
    <row r="833" spans="1:35" ht="48">
      <c r="A833" s="150" t="s">
        <v>49</v>
      </c>
      <c r="B833" s="151">
        <v>563</v>
      </c>
      <c r="C833" s="254" t="s">
        <v>39</v>
      </c>
      <c r="D833" s="151">
        <v>4222</v>
      </c>
      <c r="E833" s="227" t="s">
        <v>72</v>
      </c>
      <c r="F833" s="153" t="s">
        <v>689</v>
      </c>
      <c r="G833" s="883"/>
      <c r="H833" s="879"/>
      <c r="I833" s="880"/>
      <c r="J833" s="149"/>
      <c r="K833" s="149"/>
      <c r="L833" s="149"/>
      <c r="M833" s="149"/>
      <c r="N833" s="149"/>
      <c r="O833" s="149"/>
      <c r="P833" s="149"/>
      <c r="Q833" s="149"/>
      <c r="R833" s="149"/>
      <c r="S833" s="149"/>
      <c r="T833" s="149"/>
      <c r="U833" s="149"/>
      <c r="V833" s="149"/>
      <c r="W833" s="149"/>
      <c r="X833" s="149"/>
      <c r="Y833" s="149"/>
      <c r="Z833" s="149"/>
      <c r="AA833" s="149"/>
      <c r="AB833" s="149"/>
      <c r="AC833" s="149"/>
      <c r="AD833" s="149"/>
      <c r="AE833" s="149"/>
      <c r="AF833" s="149"/>
      <c r="AG833" s="149"/>
      <c r="AH833" s="149"/>
      <c r="AI833" s="149"/>
    </row>
    <row r="834" spans="1:35" ht="48">
      <c r="A834" s="150" t="s">
        <v>49</v>
      </c>
      <c r="B834" s="151">
        <v>563</v>
      </c>
      <c r="C834" s="254" t="s">
        <v>39</v>
      </c>
      <c r="D834" s="151">
        <v>4223</v>
      </c>
      <c r="E834" s="227" t="s">
        <v>90</v>
      </c>
      <c r="F834" s="153" t="s">
        <v>720</v>
      </c>
      <c r="G834" s="883"/>
      <c r="H834" s="879"/>
      <c r="I834" s="880"/>
      <c r="J834" s="149"/>
      <c r="K834" s="149"/>
      <c r="L834" s="149"/>
      <c r="M834" s="149"/>
      <c r="N834" s="149"/>
      <c r="O834" s="149"/>
      <c r="P834" s="149"/>
      <c r="Q834" s="149"/>
      <c r="R834" s="149"/>
      <c r="S834" s="149"/>
      <c r="T834" s="149"/>
      <c r="U834" s="149"/>
      <c r="V834" s="149"/>
      <c r="W834" s="149"/>
      <c r="X834" s="149"/>
      <c r="Y834" s="149"/>
      <c r="Z834" s="149"/>
      <c r="AA834" s="149"/>
      <c r="AB834" s="149"/>
      <c r="AC834" s="149"/>
      <c r="AD834" s="149"/>
      <c r="AE834" s="149"/>
      <c r="AF834" s="149"/>
      <c r="AG834" s="149"/>
      <c r="AH834" s="149"/>
      <c r="AI834" s="149"/>
    </row>
    <row r="835" spans="1:35" ht="48">
      <c r="A835" s="150" t="s">
        <v>49</v>
      </c>
      <c r="B835" s="151">
        <v>563</v>
      </c>
      <c r="C835" s="254" t="s">
        <v>39</v>
      </c>
      <c r="D835" s="151">
        <v>4224</v>
      </c>
      <c r="E835" s="227" t="s">
        <v>73</v>
      </c>
      <c r="F835" s="153" t="s">
        <v>689</v>
      </c>
      <c r="G835" s="883"/>
      <c r="H835" s="879"/>
      <c r="I835" s="880"/>
      <c r="J835" s="149"/>
      <c r="K835" s="149"/>
      <c r="L835" s="149"/>
      <c r="M835" s="149"/>
      <c r="N835" s="149"/>
      <c r="O835" s="149"/>
      <c r="P835" s="149"/>
      <c r="Q835" s="149"/>
      <c r="R835" s="149"/>
      <c r="S835" s="149"/>
      <c r="T835" s="149"/>
      <c r="U835" s="149"/>
      <c r="V835" s="149"/>
      <c r="W835" s="149"/>
      <c r="X835" s="149"/>
      <c r="Y835" s="149"/>
      <c r="Z835" s="149"/>
      <c r="AA835" s="149"/>
      <c r="AB835" s="149"/>
      <c r="AC835" s="149"/>
      <c r="AD835" s="149"/>
      <c r="AE835" s="149"/>
      <c r="AF835" s="149"/>
      <c r="AG835" s="149"/>
      <c r="AH835" s="149"/>
      <c r="AI835" s="149"/>
    </row>
    <row r="836" spans="1:35" ht="48">
      <c r="A836" s="150" t="s">
        <v>49</v>
      </c>
      <c r="B836" s="151">
        <v>563</v>
      </c>
      <c r="C836" s="254" t="s">
        <v>39</v>
      </c>
      <c r="D836" s="151">
        <v>4225</v>
      </c>
      <c r="E836" s="227" t="s">
        <v>85</v>
      </c>
      <c r="F836" s="153" t="s">
        <v>689</v>
      </c>
      <c r="G836" s="883"/>
      <c r="H836" s="879"/>
      <c r="I836" s="880"/>
      <c r="J836" s="149"/>
      <c r="K836" s="149"/>
      <c r="L836" s="149"/>
      <c r="M836" s="149"/>
      <c r="N836" s="149"/>
      <c r="O836" s="149"/>
      <c r="P836" s="149"/>
      <c r="Q836" s="149"/>
      <c r="R836" s="149"/>
      <c r="S836" s="149"/>
      <c r="T836" s="149"/>
      <c r="U836" s="149"/>
      <c r="V836" s="149"/>
      <c r="W836" s="149"/>
      <c r="X836" s="149"/>
      <c r="Y836" s="149"/>
      <c r="Z836" s="149"/>
      <c r="AA836" s="149"/>
      <c r="AB836" s="149"/>
      <c r="AC836" s="149"/>
      <c r="AD836" s="149"/>
      <c r="AE836" s="149"/>
      <c r="AF836" s="149"/>
      <c r="AG836" s="149"/>
      <c r="AH836" s="149"/>
      <c r="AI836" s="149"/>
    </row>
    <row r="837" spans="1:35" ht="48">
      <c r="A837" s="150" t="s">
        <v>49</v>
      </c>
      <c r="B837" s="151">
        <v>563</v>
      </c>
      <c r="C837" s="254" t="s">
        <v>39</v>
      </c>
      <c r="D837" s="151">
        <v>4226</v>
      </c>
      <c r="E837" s="227" t="s">
        <v>716</v>
      </c>
      <c r="F837" s="153" t="s">
        <v>689</v>
      </c>
      <c r="G837" s="883"/>
      <c r="H837" s="879"/>
      <c r="I837" s="880"/>
      <c r="J837" s="149"/>
      <c r="K837" s="149"/>
      <c r="L837" s="149"/>
      <c r="M837" s="149"/>
      <c r="N837" s="149"/>
      <c r="O837" s="149"/>
      <c r="P837" s="149"/>
      <c r="Q837" s="149"/>
      <c r="R837" s="149"/>
      <c r="S837" s="149"/>
      <c r="T837" s="149"/>
      <c r="U837" s="149"/>
      <c r="V837" s="149"/>
      <c r="W837" s="149"/>
      <c r="X837" s="149"/>
      <c r="Y837" s="149"/>
      <c r="Z837" s="149"/>
      <c r="AA837" s="149"/>
      <c r="AB837" s="149"/>
      <c r="AC837" s="149"/>
      <c r="AD837" s="149"/>
      <c r="AE837" s="149"/>
      <c r="AF837" s="149"/>
      <c r="AG837" s="149"/>
      <c r="AH837" s="149"/>
      <c r="AI837" s="149"/>
    </row>
    <row r="838" spans="1:35" ht="60">
      <c r="A838" s="150" t="s">
        <v>49</v>
      </c>
      <c r="B838" s="151">
        <v>563</v>
      </c>
      <c r="C838" s="254" t="s">
        <v>39</v>
      </c>
      <c r="D838" s="151">
        <v>4227</v>
      </c>
      <c r="E838" s="227" t="s">
        <v>93</v>
      </c>
      <c r="F838" s="153" t="s">
        <v>689</v>
      </c>
      <c r="G838" s="883"/>
      <c r="H838" s="879"/>
      <c r="I838" s="880"/>
      <c r="J838" s="149"/>
      <c r="K838" s="149"/>
      <c r="L838" s="149"/>
      <c r="M838" s="149"/>
      <c r="N838" s="149"/>
      <c r="O838" s="149"/>
      <c r="P838" s="149"/>
      <c r="Q838" s="149"/>
      <c r="R838" s="149"/>
      <c r="S838" s="149"/>
      <c r="T838" s="149"/>
      <c r="U838" s="149"/>
      <c r="V838" s="149"/>
      <c r="W838" s="149"/>
      <c r="X838" s="149"/>
      <c r="Y838" s="149"/>
      <c r="Z838" s="149"/>
      <c r="AA838" s="149"/>
      <c r="AB838" s="149"/>
      <c r="AC838" s="149"/>
      <c r="AD838" s="149"/>
      <c r="AE838" s="149"/>
      <c r="AF838" s="149"/>
      <c r="AG838" s="149"/>
      <c r="AH838" s="149"/>
      <c r="AI838" s="149"/>
    </row>
    <row r="839" spans="1:35" ht="48">
      <c r="A839" s="150" t="s">
        <v>49</v>
      </c>
      <c r="B839" s="151">
        <v>563</v>
      </c>
      <c r="C839" s="254" t="s">
        <v>39</v>
      </c>
      <c r="D839" s="151">
        <v>4231</v>
      </c>
      <c r="E839" s="227" t="s">
        <v>98</v>
      </c>
      <c r="F839" s="153" t="s">
        <v>689</v>
      </c>
      <c r="G839" s="883"/>
      <c r="H839" s="879"/>
      <c r="I839" s="880"/>
      <c r="J839" s="149"/>
      <c r="K839" s="149"/>
      <c r="L839" s="149"/>
      <c r="M839" s="149"/>
      <c r="N839" s="149"/>
      <c r="O839" s="149"/>
      <c r="P839" s="149"/>
      <c r="Q839" s="149"/>
      <c r="R839" s="149"/>
      <c r="S839" s="149"/>
      <c r="T839" s="149"/>
      <c r="U839" s="149"/>
      <c r="V839" s="149"/>
      <c r="W839" s="149"/>
      <c r="X839" s="149"/>
      <c r="Y839" s="149"/>
      <c r="Z839" s="149"/>
      <c r="AA839" s="149"/>
      <c r="AB839" s="149"/>
      <c r="AC839" s="149"/>
      <c r="AD839" s="149"/>
      <c r="AE839" s="149"/>
      <c r="AF839" s="149"/>
      <c r="AG839" s="149"/>
      <c r="AH839" s="149"/>
      <c r="AI839" s="149"/>
    </row>
    <row r="840" spans="1:35" ht="60">
      <c r="A840" s="150" t="s">
        <v>49</v>
      </c>
      <c r="B840" s="151">
        <v>563</v>
      </c>
      <c r="C840" s="254" t="s">
        <v>39</v>
      </c>
      <c r="D840" s="151">
        <v>4233</v>
      </c>
      <c r="E840" s="227" t="s">
        <v>759</v>
      </c>
      <c r="F840" s="153" t="s">
        <v>689</v>
      </c>
      <c r="G840" s="883"/>
      <c r="H840" s="879"/>
      <c r="I840" s="880"/>
      <c r="J840" s="149"/>
      <c r="K840" s="149"/>
      <c r="L840" s="149"/>
      <c r="M840" s="149"/>
      <c r="N840" s="149"/>
      <c r="O840" s="149"/>
      <c r="P840" s="149"/>
      <c r="Q840" s="149"/>
      <c r="R840" s="149"/>
      <c r="S840" s="149"/>
      <c r="T840" s="149"/>
      <c r="U840" s="149"/>
      <c r="V840" s="149"/>
      <c r="W840" s="149"/>
      <c r="X840" s="149"/>
      <c r="Y840" s="149"/>
      <c r="Z840" s="149"/>
      <c r="AA840" s="149"/>
      <c r="AB840" s="149"/>
      <c r="AC840" s="149"/>
      <c r="AD840" s="149"/>
      <c r="AE840" s="149"/>
      <c r="AF840" s="149"/>
      <c r="AG840" s="149"/>
      <c r="AH840" s="149"/>
      <c r="AI840" s="149"/>
    </row>
    <row r="841" spans="1:35" ht="48">
      <c r="A841" s="150" t="s">
        <v>49</v>
      </c>
      <c r="B841" s="151">
        <v>563</v>
      </c>
      <c r="C841" s="254" t="s">
        <v>39</v>
      </c>
      <c r="D841" s="151">
        <v>4241</v>
      </c>
      <c r="E841" s="227" t="s">
        <v>74</v>
      </c>
      <c r="F841" s="153" t="s">
        <v>689</v>
      </c>
      <c r="G841" s="883"/>
      <c r="H841" s="879"/>
      <c r="I841" s="880"/>
      <c r="J841" s="149"/>
      <c r="K841" s="149"/>
      <c r="L841" s="149"/>
      <c r="M841" s="149"/>
      <c r="N841" s="149"/>
      <c r="O841" s="149"/>
      <c r="P841" s="149"/>
      <c r="Q841" s="149"/>
      <c r="R841" s="149"/>
      <c r="S841" s="149"/>
      <c r="T841" s="149"/>
      <c r="U841" s="149"/>
      <c r="V841" s="149"/>
      <c r="W841" s="149"/>
      <c r="X841" s="149"/>
      <c r="Y841" s="149"/>
      <c r="Z841" s="149"/>
      <c r="AA841" s="149"/>
      <c r="AB841" s="149"/>
      <c r="AC841" s="149"/>
      <c r="AD841" s="149"/>
      <c r="AE841" s="149"/>
      <c r="AF841" s="149"/>
      <c r="AG841" s="149"/>
      <c r="AH841" s="149"/>
      <c r="AI841" s="149"/>
    </row>
    <row r="842" spans="1:35" ht="48">
      <c r="A842" s="150" t="s">
        <v>49</v>
      </c>
      <c r="B842" s="151">
        <v>563</v>
      </c>
      <c r="C842" s="254" t="s">
        <v>39</v>
      </c>
      <c r="D842" s="151">
        <v>4244</v>
      </c>
      <c r="E842" s="227" t="s">
        <v>760</v>
      </c>
      <c r="F842" s="153" t="s">
        <v>689</v>
      </c>
      <c r="G842" s="883"/>
      <c r="H842" s="879"/>
      <c r="I842" s="880"/>
      <c r="J842" s="149"/>
      <c r="K842" s="149"/>
      <c r="L842" s="149"/>
      <c r="M842" s="149"/>
      <c r="N842" s="149"/>
      <c r="O842" s="149"/>
      <c r="P842" s="149"/>
      <c r="Q842" s="149"/>
      <c r="R842" s="149"/>
      <c r="S842" s="149"/>
      <c r="T842" s="149"/>
      <c r="U842" s="149"/>
      <c r="V842" s="149"/>
      <c r="W842" s="149"/>
      <c r="X842" s="149"/>
      <c r="Y842" s="149"/>
      <c r="Z842" s="149"/>
      <c r="AA842" s="149"/>
      <c r="AB842" s="149"/>
      <c r="AC842" s="149"/>
      <c r="AD842" s="149"/>
      <c r="AE842" s="149"/>
      <c r="AF842" s="149"/>
      <c r="AG842" s="149"/>
      <c r="AH842" s="149"/>
      <c r="AI842" s="149"/>
    </row>
    <row r="843" spans="1:35" s="166" customFormat="1" ht="48">
      <c r="A843" s="150" t="s">
        <v>49</v>
      </c>
      <c r="B843" s="151">
        <v>563</v>
      </c>
      <c r="C843" s="254" t="s">
        <v>39</v>
      </c>
      <c r="D843" s="151">
        <v>4262</v>
      </c>
      <c r="E843" s="227" t="s">
        <v>86</v>
      </c>
      <c r="F843" s="153" t="s">
        <v>689</v>
      </c>
      <c r="G843" s="883"/>
      <c r="H843" s="879"/>
      <c r="I843" s="880"/>
      <c r="J843" s="165"/>
      <c r="K843" s="165"/>
      <c r="L843" s="165"/>
      <c r="M843" s="165"/>
      <c r="N843" s="165"/>
      <c r="O843" s="165"/>
      <c r="P843" s="165"/>
      <c r="Q843" s="165"/>
      <c r="R843" s="165"/>
      <c r="S843" s="165"/>
      <c r="T843" s="165"/>
      <c r="U843" s="165"/>
      <c r="V843" s="165"/>
      <c r="W843" s="165"/>
      <c r="X843" s="165"/>
      <c r="Y843" s="165"/>
      <c r="Z843" s="165"/>
      <c r="AA843" s="165"/>
      <c r="AB843" s="165"/>
      <c r="AC843" s="165"/>
      <c r="AD843" s="165"/>
      <c r="AE843" s="165"/>
      <c r="AF843" s="165"/>
      <c r="AG843" s="165"/>
      <c r="AH843" s="165"/>
      <c r="AI843" s="165"/>
    </row>
    <row r="844" spans="1:35" s="161" customFormat="1" ht="60">
      <c r="A844" s="150" t="s">
        <v>49</v>
      </c>
      <c r="B844" s="151">
        <v>563</v>
      </c>
      <c r="C844" s="254" t="s">
        <v>39</v>
      </c>
      <c r="D844" s="151">
        <v>4264</v>
      </c>
      <c r="E844" s="227" t="s">
        <v>761</v>
      </c>
      <c r="F844" s="153" t="s">
        <v>689</v>
      </c>
      <c r="G844" s="883"/>
      <c r="H844" s="879"/>
      <c r="I844" s="880"/>
      <c r="J844" s="160"/>
      <c r="K844" s="160"/>
      <c r="L844" s="160"/>
      <c r="M844" s="160"/>
      <c r="N844" s="160"/>
      <c r="O844" s="160"/>
      <c r="P844" s="160"/>
      <c r="Q844" s="160"/>
      <c r="R844" s="160"/>
      <c r="S844" s="160"/>
      <c r="T844" s="160"/>
      <c r="U844" s="160"/>
      <c r="V844" s="160"/>
      <c r="W844" s="160"/>
      <c r="X844" s="160"/>
      <c r="Y844" s="160"/>
      <c r="Z844" s="160"/>
      <c r="AA844" s="160"/>
      <c r="AB844" s="160"/>
      <c r="AC844" s="160"/>
      <c r="AD844" s="160"/>
      <c r="AE844" s="160"/>
      <c r="AF844" s="160"/>
      <c r="AG844" s="160"/>
      <c r="AH844" s="160"/>
      <c r="AI844" s="160"/>
    </row>
    <row r="845" spans="1:35" ht="60">
      <c r="A845" s="150" t="s">
        <v>49</v>
      </c>
      <c r="B845" s="151">
        <v>563</v>
      </c>
      <c r="C845" s="254" t="s">
        <v>39</v>
      </c>
      <c r="D845" s="151">
        <v>4312</v>
      </c>
      <c r="E845" s="227" t="s">
        <v>684</v>
      </c>
      <c r="F845" s="153" t="s">
        <v>689</v>
      </c>
      <c r="G845" s="883"/>
      <c r="H845" s="879"/>
      <c r="I845" s="880"/>
      <c r="J845" s="149"/>
      <c r="K845" s="149"/>
      <c r="L845" s="149"/>
      <c r="M845" s="149"/>
      <c r="N845" s="149"/>
      <c r="O845" s="149"/>
      <c r="P845" s="149"/>
      <c r="Q845" s="149"/>
      <c r="R845" s="149"/>
      <c r="S845" s="149"/>
      <c r="T845" s="149"/>
      <c r="U845" s="149"/>
      <c r="V845" s="149"/>
      <c r="W845" s="149"/>
      <c r="X845" s="149"/>
      <c r="Y845" s="149"/>
      <c r="Z845" s="149"/>
      <c r="AA845" s="149"/>
      <c r="AB845" s="149"/>
      <c r="AC845" s="149"/>
      <c r="AD845" s="149"/>
      <c r="AE845" s="149"/>
      <c r="AF845" s="149"/>
      <c r="AG845" s="149"/>
      <c r="AH845" s="149"/>
      <c r="AI845" s="149"/>
    </row>
    <row r="846" spans="1:35" s="166" customFormat="1" ht="48">
      <c r="A846" s="150" t="s">
        <v>49</v>
      </c>
      <c r="B846" s="151">
        <v>563</v>
      </c>
      <c r="C846" s="254" t="s">
        <v>39</v>
      </c>
      <c r="D846" s="155">
        <v>4511</v>
      </c>
      <c r="E846" s="228" t="s">
        <v>91</v>
      </c>
      <c r="F846" s="153" t="s">
        <v>689</v>
      </c>
      <c r="G846" s="883"/>
      <c r="H846" s="879"/>
      <c r="I846" s="880"/>
      <c r="J846" s="165"/>
      <c r="K846" s="165"/>
      <c r="L846" s="165"/>
      <c r="M846" s="165"/>
      <c r="N846" s="165"/>
      <c r="O846" s="165"/>
      <c r="P846" s="165"/>
      <c r="Q846" s="165"/>
      <c r="R846" s="165"/>
      <c r="S846" s="165"/>
      <c r="T846" s="165"/>
      <c r="U846" s="165"/>
      <c r="V846" s="165"/>
      <c r="W846" s="165"/>
      <c r="X846" s="165"/>
      <c r="Y846" s="165"/>
      <c r="Z846" s="165"/>
      <c r="AA846" s="165"/>
      <c r="AB846" s="165"/>
      <c r="AC846" s="165"/>
      <c r="AD846" s="165"/>
      <c r="AE846" s="165"/>
      <c r="AF846" s="165"/>
      <c r="AG846" s="165"/>
      <c r="AH846" s="165"/>
      <c r="AI846" s="165"/>
    </row>
    <row r="847" spans="1:35" s="166" customFormat="1" ht="48.75" thickBot="1">
      <c r="A847" s="150" t="s">
        <v>49</v>
      </c>
      <c r="B847" s="151">
        <v>563</v>
      </c>
      <c r="C847" s="254" t="s">
        <v>39</v>
      </c>
      <c r="D847" s="155">
        <v>4521</v>
      </c>
      <c r="E847" s="228" t="s">
        <v>95</v>
      </c>
      <c r="F847" s="153" t="s">
        <v>689</v>
      </c>
      <c r="G847" s="883"/>
      <c r="H847" s="879"/>
      <c r="I847" s="880"/>
      <c r="J847" s="165"/>
      <c r="K847" s="165"/>
      <c r="L847" s="165"/>
      <c r="M847" s="165"/>
      <c r="N847" s="165"/>
      <c r="O847" s="165"/>
      <c r="P847" s="165"/>
      <c r="Q847" s="165"/>
      <c r="R847" s="165"/>
      <c r="S847" s="165"/>
      <c r="T847" s="165"/>
      <c r="U847" s="165"/>
      <c r="V847" s="165"/>
      <c r="W847" s="165"/>
      <c r="X847" s="165"/>
      <c r="Y847" s="165"/>
      <c r="Z847" s="165"/>
      <c r="AA847" s="165"/>
      <c r="AB847" s="165"/>
      <c r="AC847" s="165"/>
      <c r="AD847" s="165"/>
      <c r="AE847" s="165"/>
      <c r="AF847" s="165"/>
      <c r="AG847" s="165"/>
      <c r="AH847" s="165"/>
      <c r="AI847" s="165"/>
    </row>
    <row r="848" spans="1:35" s="166" customFormat="1" ht="36.75" thickBot="1">
      <c r="A848" s="157" t="s">
        <v>49</v>
      </c>
      <c r="B848" s="158">
        <v>563</v>
      </c>
      <c r="C848" s="256" t="s">
        <v>39</v>
      </c>
      <c r="D848" s="158"/>
      <c r="E848" s="229" t="s">
        <v>742</v>
      </c>
      <c r="F848" s="159" t="s">
        <v>689</v>
      </c>
      <c r="G848" s="894">
        <f>SUM(G780:G847)</f>
        <v>0</v>
      </c>
      <c r="H848" s="894">
        <f>SUM(H780:H847)</f>
        <v>0</v>
      </c>
      <c r="I848" s="895">
        <f>SUM(I780:I847)</f>
        <v>0</v>
      </c>
      <c r="J848" s="165"/>
      <c r="K848" s="165"/>
      <c r="L848" s="165"/>
      <c r="M848" s="165"/>
      <c r="N848" s="165"/>
      <c r="O848" s="165"/>
      <c r="P848" s="165"/>
      <c r="Q848" s="165"/>
      <c r="R848" s="165"/>
      <c r="S848" s="165"/>
      <c r="T848" s="165"/>
      <c r="U848" s="165"/>
      <c r="V848" s="165"/>
      <c r="W848" s="165"/>
      <c r="X848" s="165"/>
      <c r="Y848" s="165"/>
      <c r="Z848" s="165"/>
      <c r="AA848" s="165"/>
      <c r="AB848" s="165"/>
      <c r="AC848" s="165"/>
      <c r="AD848" s="165"/>
      <c r="AE848" s="165"/>
      <c r="AF848" s="165"/>
      <c r="AG848" s="165"/>
      <c r="AH848" s="165"/>
      <c r="AI848" s="165"/>
    </row>
    <row r="849" spans="1:35" s="166" customFormat="1" ht="48">
      <c r="A849" s="848" t="s">
        <v>49</v>
      </c>
      <c r="B849" s="849">
        <v>563</v>
      </c>
      <c r="C849" s="850" t="s">
        <v>39</v>
      </c>
      <c r="D849" s="849">
        <v>3111</v>
      </c>
      <c r="E849" s="851" t="s">
        <v>50</v>
      </c>
      <c r="F849" s="852" t="s">
        <v>783</v>
      </c>
      <c r="G849" s="883"/>
      <c r="H849" s="879"/>
      <c r="I849" s="880"/>
      <c r="J849" s="165"/>
      <c r="K849" s="165"/>
      <c r="L849" s="165"/>
      <c r="M849" s="165"/>
      <c r="N849" s="165"/>
      <c r="O849" s="165"/>
      <c r="P849" s="165"/>
      <c r="Q849" s="165"/>
      <c r="R849" s="165"/>
      <c r="S849" s="165"/>
      <c r="T849" s="165"/>
      <c r="U849" s="165"/>
      <c r="V849" s="165"/>
      <c r="W849" s="165"/>
      <c r="X849" s="165"/>
      <c r="Y849" s="165"/>
      <c r="Z849" s="165"/>
      <c r="AA849" s="165"/>
      <c r="AB849" s="165"/>
      <c r="AC849" s="165"/>
      <c r="AD849" s="165"/>
      <c r="AE849" s="165"/>
      <c r="AF849" s="165"/>
      <c r="AG849" s="165"/>
      <c r="AH849" s="165"/>
      <c r="AI849" s="165"/>
    </row>
    <row r="850" spans="1:35" s="166" customFormat="1" ht="48">
      <c r="A850" s="848" t="s">
        <v>49</v>
      </c>
      <c r="B850" s="849">
        <v>563</v>
      </c>
      <c r="C850" s="850" t="s">
        <v>39</v>
      </c>
      <c r="D850" s="849">
        <v>3112</v>
      </c>
      <c r="E850" s="851" t="s">
        <v>96</v>
      </c>
      <c r="F850" s="853" t="s">
        <v>783</v>
      </c>
      <c r="G850" s="883"/>
      <c r="H850" s="879"/>
      <c r="I850" s="880"/>
      <c r="J850" s="165"/>
      <c r="K850" s="165"/>
      <c r="L850" s="165"/>
      <c r="M850" s="165"/>
      <c r="N850" s="165"/>
      <c r="O850" s="165"/>
      <c r="P850" s="165"/>
      <c r="Q850" s="165"/>
      <c r="R850" s="165"/>
      <c r="S850" s="165"/>
      <c r="T850" s="165"/>
      <c r="U850" s="165"/>
      <c r="V850" s="165"/>
      <c r="W850" s="165"/>
      <c r="X850" s="165"/>
      <c r="Y850" s="165"/>
      <c r="Z850" s="165"/>
      <c r="AA850" s="165"/>
      <c r="AB850" s="165"/>
      <c r="AC850" s="165"/>
      <c r="AD850" s="165"/>
      <c r="AE850" s="165"/>
      <c r="AF850" s="165"/>
      <c r="AG850" s="165"/>
      <c r="AH850" s="165"/>
      <c r="AI850" s="165"/>
    </row>
    <row r="851" spans="1:35" s="166" customFormat="1" ht="48">
      <c r="A851" s="848" t="s">
        <v>49</v>
      </c>
      <c r="B851" s="849">
        <v>563</v>
      </c>
      <c r="C851" s="850" t="s">
        <v>39</v>
      </c>
      <c r="D851" s="849">
        <v>3113</v>
      </c>
      <c r="E851" s="851" t="s">
        <v>751</v>
      </c>
      <c r="F851" s="853" t="s">
        <v>783</v>
      </c>
      <c r="G851" s="883"/>
      <c r="H851" s="879"/>
      <c r="I851" s="880"/>
      <c r="J851" s="165"/>
      <c r="K851" s="165"/>
      <c r="L851" s="165"/>
      <c r="M851" s="165"/>
      <c r="N851" s="165"/>
      <c r="O851" s="165"/>
      <c r="P851" s="165"/>
      <c r="Q851" s="165"/>
      <c r="R851" s="165"/>
      <c r="S851" s="165"/>
      <c r="T851" s="165"/>
      <c r="U851" s="165"/>
      <c r="V851" s="165"/>
      <c r="W851" s="165"/>
      <c r="X851" s="165"/>
      <c r="Y851" s="165"/>
      <c r="Z851" s="165"/>
      <c r="AA851" s="165"/>
      <c r="AB851" s="165"/>
      <c r="AC851" s="165"/>
      <c r="AD851" s="165"/>
      <c r="AE851" s="165"/>
      <c r="AF851" s="165"/>
      <c r="AG851" s="165"/>
      <c r="AH851" s="165"/>
      <c r="AI851" s="165"/>
    </row>
    <row r="852" spans="1:35" s="166" customFormat="1" ht="48">
      <c r="A852" s="848" t="s">
        <v>49</v>
      </c>
      <c r="B852" s="849">
        <v>563</v>
      </c>
      <c r="C852" s="850" t="s">
        <v>39</v>
      </c>
      <c r="D852" s="849">
        <v>3114</v>
      </c>
      <c r="E852" s="851" t="s">
        <v>750</v>
      </c>
      <c r="F852" s="853" t="s">
        <v>783</v>
      </c>
      <c r="G852" s="883"/>
      <c r="H852" s="879"/>
      <c r="I852" s="880"/>
      <c r="J852" s="165"/>
      <c r="K852" s="165"/>
      <c r="L852" s="165"/>
      <c r="M852" s="165"/>
      <c r="N852" s="165"/>
      <c r="O852" s="165"/>
      <c r="P852" s="165"/>
      <c r="Q852" s="165"/>
      <c r="R852" s="165"/>
      <c r="S852" s="165"/>
      <c r="T852" s="165"/>
      <c r="U852" s="165"/>
      <c r="V852" s="165"/>
      <c r="W852" s="165"/>
      <c r="X852" s="165"/>
      <c r="Y852" s="165"/>
      <c r="Z852" s="165"/>
      <c r="AA852" s="165"/>
      <c r="AB852" s="165"/>
      <c r="AC852" s="165"/>
      <c r="AD852" s="165"/>
      <c r="AE852" s="165"/>
      <c r="AF852" s="165"/>
      <c r="AG852" s="165"/>
      <c r="AH852" s="165"/>
      <c r="AI852" s="165"/>
    </row>
    <row r="853" spans="1:35" s="166" customFormat="1" ht="48">
      <c r="A853" s="848" t="s">
        <v>49</v>
      </c>
      <c r="B853" s="849">
        <v>563</v>
      </c>
      <c r="C853" s="850" t="s">
        <v>39</v>
      </c>
      <c r="D853" s="854">
        <v>3121</v>
      </c>
      <c r="E853" s="855" t="s">
        <v>51</v>
      </c>
      <c r="F853" s="853" t="s">
        <v>783</v>
      </c>
      <c r="G853" s="883"/>
      <c r="H853" s="879"/>
      <c r="I853" s="880"/>
      <c r="J853" s="165"/>
      <c r="K853" s="165"/>
      <c r="L853" s="165"/>
      <c r="M853" s="165"/>
      <c r="N853" s="165"/>
      <c r="O853" s="165"/>
      <c r="P853" s="165"/>
      <c r="Q853" s="165"/>
      <c r="R853" s="165"/>
      <c r="S853" s="165"/>
      <c r="T853" s="165"/>
      <c r="U853" s="165"/>
      <c r="V853" s="165"/>
      <c r="W853" s="165"/>
      <c r="X853" s="165"/>
      <c r="Y853" s="165"/>
      <c r="Z853" s="165"/>
      <c r="AA853" s="165"/>
      <c r="AB853" s="165"/>
      <c r="AC853" s="165"/>
      <c r="AD853" s="165"/>
      <c r="AE853" s="165"/>
      <c r="AF853" s="165"/>
      <c r="AG853" s="165"/>
      <c r="AH853" s="165"/>
      <c r="AI853" s="165"/>
    </row>
    <row r="854" spans="1:35" s="166" customFormat="1" ht="48">
      <c r="A854" s="848" t="s">
        <v>49</v>
      </c>
      <c r="B854" s="849">
        <v>563</v>
      </c>
      <c r="C854" s="850" t="s">
        <v>39</v>
      </c>
      <c r="D854" s="854">
        <v>3131</v>
      </c>
      <c r="E854" s="855" t="s">
        <v>752</v>
      </c>
      <c r="F854" s="853" t="s">
        <v>783</v>
      </c>
      <c r="G854" s="883"/>
      <c r="H854" s="879"/>
      <c r="I854" s="880"/>
      <c r="J854" s="165"/>
      <c r="K854" s="165"/>
      <c r="L854" s="165"/>
      <c r="M854" s="165"/>
      <c r="N854" s="165"/>
      <c r="O854" s="165"/>
      <c r="P854" s="165"/>
      <c r="Q854" s="165"/>
      <c r="R854" s="165"/>
      <c r="S854" s="165"/>
      <c r="T854" s="165"/>
      <c r="U854" s="165"/>
      <c r="V854" s="165"/>
      <c r="W854" s="165"/>
      <c r="X854" s="165"/>
      <c r="Y854" s="165"/>
      <c r="Z854" s="165"/>
      <c r="AA854" s="165"/>
      <c r="AB854" s="165"/>
      <c r="AC854" s="165"/>
      <c r="AD854" s="165"/>
      <c r="AE854" s="165"/>
      <c r="AF854" s="165"/>
      <c r="AG854" s="165"/>
      <c r="AH854" s="165"/>
      <c r="AI854" s="165"/>
    </row>
    <row r="855" spans="1:35" s="166" customFormat="1" ht="48">
      <c r="A855" s="848" t="s">
        <v>49</v>
      </c>
      <c r="B855" s="849">
        <v>563</v>
      </c>
      <c r="C855" s="850" t="s">
        <v>39</v>
      </c>
      <c r="D855" s="854">
        <v>3132</v>
      </c>
      <c r="E855" s="855" t="s">
        <v>52</v>
      </c>
      <c r="F855" s="853" t="s">
        <v>783</v>
      </c>
      <c r="G855" s="883"/>
      <c r="H855" s="879"/>
      <c r="I855" s="880"/>
      <c r="J855" s="165"/>
      <c r="K855" s="165"/>
      <c r="L855" s="165"/>
      <c r="M855" s="165"/>
      <c r="N855" s="165"/>
      <c r="O855" s="165"/>
      <c r="P855" s="165"/>
      <c r="Q855" s="165"/>
      <c r="R855" s="165"/>
      <c r="S855" s="165"/>
      <c r="T855" s="165"/>
      <c r="U855" s="165"/>
      <c r="V855" s="165"/>
      <c r="W855" s="165"/>
      <c r="X855" s="165"/>
      <c r="Y855" s="165"/>
      <c r="Z855" s="165"/>
      <c r="AA855" s="165"/>
      <c r="AB855" s="165"/>
      <c r="AC855" s="165"/>
      <c r="AD855" s="165"/>
      <c r="AE855" s="165"/>
      <c r="AF855" s="165"/>
      <c r="AG855" s="165"/>
      <c r="AH855" s="165"/>
      <c r="AI855" s="165"/>
    </row>
    <row r="856" spans="1:35" s="166" customFormat="1" ht="72">
      <c r="A856" s="848" t="s">
        <v>49</v>
      </c>
      <c r="B856" s="849">
        <v>563</v>
      </c>
      <c r="C856" s="850" t="s">
        <v>39</v>
      </c>
      <c r="D856" s="854">
        <v>3133</v>
      </c>
      <c r="E856" s="855" t="s">
        <v>753</v>
      </c>
      <c r="F856" s="853" t="s">
        <v>783</v>
      </c>
      <c r="G856" s="883"/>
      <c r="H856" s="879"/>
      <c r="I856" s="880"/>
      <c r="J856" s="165"/>
      <c r="K856" s="165"/>
      <c r="L856" s="165"/>
      <c r="M856" s="165"/>
      <c r="N856" s="165"/>
      <c r="O856" s="165"/>
      <c r="P856" s="165"/>
      <c r="Q856" s="165"/>
      <c r="R856" s="165"/>
      <c r="S856" s="165"/>
      <c r="T856" s="165"/>
      <c r="U856" s="165"/>
      <c r="V856" s="165"/>
      <c r="W856" s="165"/>
      <c r="X856" s="165"/>
      <c r="Y856" s="165"/>
      <c r="Z856" s="165"/>
      <c r="AA856" s="165"/>
      <c r="AB856" s="165"/>
      <c r="AC856" s="165"/>
      <c r="AD856" s="165"/>
      <c r="AE856" s="165"/>
      <c r="AF856" s="165"/>
      <c r="AG856" s="165"/>
      <c r="AH856" s="165"/>
      <c r="AI856" s="165"/>
    </row>
    <row r="857" spans="1:35" s="166" customFormat="1" ht="48">
      <c r="A857" s="848" t="s">
        <v>49</v>
      </c>
      <c r="B857" s="849">
        <v>563</v>
      </c>
      <c r="C857" s="850" t="s">
        <v>39</v>
      </c>
      <c r="D857" s="854">
        <v>3211</v>
      </c>
      <c r="E857" s="855" t="s">
        <v>60</v>
      </c>
      <c r="F857" s="853" t="s">
        <v>783</v>
      </c>
      <c r="G857" s="883"/>
      <c r="H857" s="879"/>
      <c r="I857" s="880"/>
      <c r="J857" s="165"/>
      <c r="K857" s="165"/>
      <c r="L857" s="165"/>
      <c r="M857" s="165"/>
      <c r="N857" s="165"/>
      <c r="O857" s="165"/>
      <c r="P857" s="165"/>
      <c r="Q857" s="165"/>
      <c r="R857" s="165"/>
      <c r="S857" s="165"/>
      <c r="T857" s="165"/>
      <c r="U857" s="165"/>
      <c r="V857" s="165"/>
      <c r="W857" s="165"/>
      <c r="X857" s="165"/>
      <c r="Y857" s="165"/>
      <c r="Z857" s="165"/>
      <c r="AA857" s="165"/>
      <c r="AB857" s="165"/>
      <c r="AC857" s="165"/>
      <c r="AD857" s="165"/>
      <c r="AE857" s="165"/>
      <c r="AF857" s="165"/>
      <c r="AG857" s="165"/>
      <c r="AH857" s="165"/>
      <c r="AI857" s="165"/>
    </row>
    <row r="858" spans="1:35" s="166" customFormat="1" ht="60">
      <c r="A858" s="848" t="s">
        <v>49</v>
      </c>
      <c r="B858" s="849">
        <v>563</v>
      </c>
      <c r="C858" s="850" t="s">
        <v>39</v>
      </c>
      <c r="D858" s="854">
        <v>3212</v>
      </c>
      <c r="E858" s="855" t="s">
        <v>754</v>
      </c>
      <c r="F858" s="853" t="s">
        <v>783</v>
      </c>
      <c r="G858" s="883"/>
      <c r="H858" s="879"/>
      <c r="I858" s="880"/>
      <c r="J858" s="165"/>
      <c r="K858" s="165"/>
      <c r="L858" s="165"/>
      <c r="M858" s="165"/>
      <c r="N858" s="165"/>
      <c r="O858" s="165"/>
      <c r="P858" s="165"/>
      <c r="Q858" s="165"/>
      <c r="R858" s="165"/>
      <c r="S858" s="165"/>
      <c r="T858" s="165"/>
      <c r="U858" s="165"/>
      <c r="V858" s="165"/>
      <c r="W858" s="165"/>
      <c r="X858" s="165"/>
      <c r="Y858" s="165"/>
      <c r="Z858" s="165"/>
      <c r="AA858" s="165"/>
      <c r="AB858" s="165"/>
      <c r="AC858" s="165"/>
      <c r="AD858" s="165"/>
      <c r="AE858" s="165"/>
      <c r="AF858" s="165"/>
      <c r="AG858" s="165"/>
      <c r="AH858" s="165"/>
      <c r="AI858" s="165"/>
    </row>
    <row r="859" spans="1:35" s="166" customFormat="1" ht="48">
      <c r="A859" s="848" t="s">
        <v>49</v>
      </c>
      <c r="B859" s="849">
        <v>563</v>
      </c>
      <c r="C859" s="850" t="s">
        <v>39</v>
      </c>
      <c r="D859" s="854">
        <v>3213</v>
      </c>
      <c r="E859" s="855" t="s">
        <v>64</v>
      </c>
      <c r="F859" s="853" t="s">
        <v>783</v>
      </c>
      <c r="G859" s="883"/>
      <c r="H859" s="879"/>
      <c r="I859" s="880"/>
      <c r="J859" s="165"/>
      <c r="K859" s="165"/>
      <c r="L859" s="165"/>
      <c r="M859" s="165"/>
      <c r="N859" s="165"/>
      <c r="O859" s="165"/>
      <c r="P859" s="165"/>
      <c r="Q859" s="165"/>
      <c r="R859" s="165"/>
      <c r="S859" s="165"/>
      <c r="T859" s="165"/>
      <c r="U859" s="165"/>
      <c r="V859" s="165"/>
      <c r="W859" s="165"/>
      <c r="X859" s="165"/>
      <c r="Y859" s="165"/>
      <c r="Z859" s="165"/>
      <c r="AA859" s="165"/>
      <c r="AB859" s="165"/>
      <c r="AC859" s="165"/>
      <c r="AD859" s="165"/>
      <c r="AE859" s="165"/>
      <c r="AF859" s="165"/>
      <c r="AG859" s="165"/>
      <c r="AH859" s="165"/>
      <c r="AI859" s="165"/>
    </row>
    <row r="860" spans="1:35" s="166" customFormat="1" ht="48">
      <c r="A860" s="848" t="s">
        <v>49</v>
      </c>
      <c r="B860" s="849">
        <v>563</v>
      </c>
      <c r="C860" s="850" t="s">
        <v>39</v>
      </c>
      <c r="D860" s="854">
        <v>3214</v>
      </c>
      <c r="E860" s="855" t="s">
        <v>75</v>
      </c>
      <c r="F860" s="853" t="s">
        <v>783</v>
      </c>
      <c r="G860" s="883"/>
      <c r="H860" s="879"/>
      <c r="I860" s="880"/>
      <c r="J860" s="165"/>
      <c r="K860" s="165"/>
      <c r="L860" s="165"/>
      <c r="M860" s="165"/>
      <c r="N860" s="165"/>
      <c r="O860" s="165"/>
      <c r="P860" s="165"/>
      <c r="Q860" s="165"/>
      <c r="R860" s="165"/>
      <c r="S860" s="165"/>
      <c r="T860" s="165"/>
      <c r="U860" s="165"/>
      <c r="V860" s="165"/>
      <c r="W860" s="165"/>
      <c r="X860" s="165"/>
      <c r="Y860" s="165"/>
      <c r="Z860" s="165"/>
      <c r="AA860" s="165"/>
      <c r="AB860" s="165"/>
      <c r="AC860" s="165"/>
      <c r="AD860" s="165"/>
      <c r="AE860" s="165"/>
      <c r="AF860" s="165"/>
      <c r="AG860" s="165"/>
      <c r="AH860" s="165"/>
      <c r="AI860" s="165"/>
    </row>
    <row r="861" spans="1:35" s="166" customFormat="1" ht="60">
      <c r="A861" s="848" t="s">
        <v>49</v>
      </c>
      <c r="B861" s="849">
        <v>563</v>
      </c>
      <c r="C861" s="850" t="s">
        <v>39</v>
      </c>
      <c r="D861" s="854">
        <v>3221</v>
      </c>
      <c r="E861" s="855" t="s">
        <v>65</v>
      </c>
      <c r="F861" s="853" t="s">
        <v>783</v>
      </c>
      <c r="G861" s="883"/>
      <c r="H861" s="879"/>
      <c r="I861" s="880"/>
      <c r="J861" s="165"/>
      <c r="K861" s="165"/>
      <c r="L861" s="165"/>
      <c r="M861" s="165"/>
      <c r="N861" s="165"/>
      <c r="O861" s="165"/>
      <c r="P861" s="165"/>
      <c r="Q861" s="165"/>
      <c r="R861" s="165"/>
      <c r="S861" s="165"/>
      <c r="T861" s="165"/>
      <c r="U861" s="165"/>
      <c r="V861" s="165"/>
      <c r="W861" s="165"/>
      <c r="X861" s="165"/>
      <c r="Y861" s="165"/>
      <c r="Z861" s="165"/>
      <c r="AA861" s="165"/>
      <c r="AB861" s="165"/>
      <c r="AC861" s="165"/>
      <c r="AD861" s="165"/>
      <c r="AE861" s="165"/>
      <c r="AF861" s="165"/>
      <c r="AG861" s="165"/>
      <c r="AH861" s="165"/>
      <c r="AI861" s="165"/>
    </row>
    <row r="862" spans="1:35" s="166" customFormat="1" ht="48">
      <c r="A862" s="848" t="s">
        <v>49</v>
      </c>
      <c r="B862" s="849">
        <v>563</v>
      </c>
      <c r="C862" s="850" t="s">
        <v>39</v>
      </c>
      <c r="D862" s="854">
        <v>3222</v>
      </c>
      <c r="E862" s="855" t="s">
        <v>76</v>
      </c>
      <c r="F862" s="853" t="s">
        <v>783</v>
      </c>
      <c r="G862" s="883"/>
      <c r="H862" s="879"/>
      <c r="I862" s="880"/>
      <c r="J862" s="165"/>
      <c r="K862" s="165"/>
      <c r="L862" s="165"/>
      <c r="M862" s="165"/>
      <c r="N862" s="165"/>
      <c r="O862" s="165"/>
      <c r="P862" s="165"/>
      <c r="Q862" s="165"/>
      <c r="R862" s="165"/>
      <c r="S862" s="165"/>
      <c r="T862" s="165"/>
      <c r="U862" s="165"/>
      <c r="V862" s="165"/>
      <c r="W862" s="165"/>
      <c r="X862" s="165"/>
      <c r="Y862" s="165"/>
      <c r="Z862" s="165"/>
      <c r="AA862" s="165"/>
      <c r="AB862" s="165"/>
      <c r="AC862" s="165"/>
      <c r="AD862" s="165"/>
      <c r="AE862" s="165"/>
      <c r="AF862" s="165"/>
      <c r="AG862" s="165"/>
      <c r="AH862" s="165"/>
      <c r="AI862" s="165"/>
    </row>
    <row r="863" spans="1:35" s="166" customFormat="1" ht="48">
      <c r="A863" s="848" t="s">
        <v>49</v>
      </c>
      <c r="B863" s="849">
        <v>563</v>
      </c>
      <c r="C863" s="850" t="s">
        <v>39</v>
      </c>
      <c r="D863" s="854">
        <v>3223</v>
      </c>
      <c r="E863" s="855" t="s">
        <v>77</v>
      </c>
      <c r="F863" s="853" t="s">
        <v>783</v>
      </c>
      <c r="G863" s="883"/>
      <c r="H863" s="879"/>
      <c r="I863" s="880"/>
      <c r="J863" s="165"/>
      <c r="K863" s="165"/>
      <c r="L863" s="165"/>
      <c r="M863" s="165"/>
      <c r="N863" s="165"/>
      <c r="O863" s="165"/>
      <c r="P863" s="165"/>
      <c r="Q863" s="165"/>
      <c r="R863" s="165"/>
      <c r="S863" s="165"/>
      <c r="T863" s="165"/>
      <c r="U863" s="165"/>
      <c r="V863" s="165"/>
      <c r="W863" s="165"/>
      <c r="X863" s="165"/>
      <c r="Y863" s="165"/>
      <c r="Z863" s="165"/>
      <c r="AA863" s="165"/>
      <c r="AB863" s="165"/>
      <c r="AC863" s="165"/>
      <c r="AD863" s="165"/>
      <c r="AE863" s="165"/>
      <c r="AF863" s="165"/>
      <c r="AG863" s="165"/>
      <c r="AH863" s="165"/>
      <c r="AI863" s="165"/>
    </row>
    <row r="864" spans="1:35" s="166" customFormat="1" ht="60">
      <c r="A864" s="848" t="s">
        <v>49</v>
      </c>
      <c r="B864" s="849">
        <v>563</v>
      </c>
      <c r="C864" s="850" t="s">
        <v>39</v>
      </c>
      <c r="D864" s="854">
        <v>3224</v>
      </c>
      <c r="E864" s="855" t="s">
        <v>61</v>
      </c>
      <c r="F864" s="853" t="s">
        <v>783</v>
      </c>
      <c r="G864" s="883"/>
      <c r="H864" s="879"/>
      <c r="I864" s="880"/>
      <c r="J864" s="165"/>
      <c r="K864" s="165"/>
      <c r="L864" s="165"/>
      <c r="M864" s="165"/>
      <c r="N864" s="165"/>
      <c r="O864" s="165"/>
      <c r="P864" s="165"/>
      <c r="Q864" s="165"/>
      <c r="R864" s="165"/>
      <c r="S864" s="165"/>
      <c r="T864" s="165"/>
      <c r="U864" s="165"/>
      <c r="V864" s="165"/>
      <c r="W864" s="165"/>
      <c r="X864" s="165"/>
      <c r="Y864" s="165"/>
      <c r="Z864" s="165"/>
      <c r="AA864" s="165"/>
      <c r="AB864" s="165"/>
      <c r="AC864" s="165"/>
      <c r="AD864" s="165"/>
      <c r="AE864" s="165"/>
      <c r="AF864" s="165"/>
      <c r="AG864" s="165"/>
      <c r="AH864" s="165"/>
      <c r="AI864" s="165"/>
    </row>
    <row r="865" spans="1:35" s="166" customFormat="1" ht="48">
      <c r="A865" s="848" t="s">
        <v>49</v>
      </c>
      <c r="B865" s="849">
        <v>563</v>
      </c>
      <c r="C865" s="850" t="s">
        <v>39</v>
      </c>
      <c r="D865" s="854">
        <v>3225</v>
      </c>
      <c r="E865" s="855" t="s">
        <v>78</v>
      </c>
      <c r="F865" s="853" t="s">
        <v>783</v>
      </c>
      <c r="G865" s="883"/>
      <c r="H865" s="879"/>
      <c r="I865" s="880"/>
      <c r="J865" s="165"/>
      <c r="K865" s="165"/>
      <c r="L865" s="165"/>
      <c r="M865" s="165"/>
      <c r="N865" s="165"/>
      <c r="O865" s="165"/>
      <c r="P865" s="165"/>
      <c r="Q865" s="165"/>
      <c r="R865" s="165"/>
      <c r="S865" s="165"/>
      <c r="T865" s="165"/>
      <c r="U865" s="165"/>
      <c r="V865" s="165"/>
      <c r="W865" s="165"/>
      <c r="X865" s="165"/>
      <c r="Y865" s="165"/>
      <c r="Z865" s="165"/>
      <c r="AA865" s="165"/>
      <c r="AB865" s="165"/>
      <c r="AC865" s="165"/>
      <c r="AD865" s="165"/>
      <c r="AE865" s="165"/>
      <c r="AF865" s="165"/>
      <c r="AG865" s="165"/>
      <c r="AH865" s="165"/>
      <c r="AI865" s="165"/>
    </row>
    <row r="866" spans="1:35" s="166" customFormat="1" ht="60">
      <c r="A866" s="848" t="s">
        <v>49</v>
      </c>
      <c r="B866" s="849">
        <v>563</v>
      </c>
      <c r="C866" s="850" t="s">
        <v>39</v>
      </c>
      <c r="D866" s="854">
        <v>3227</v>
      </c>
      <c r="E866" s="855" t="s">
        <v>89</v>
      </c>
      <c r="F866" s="853" t="s">
        <v>783</v>
      </c>
      <c r="G866" s="883"/>
      <c r="H866" s="879"/>
      <c r="I866" s="880"/>
      <c r="J866" s="165"/>
      <c r="K866" s="165"/>
      <c r="L866" s="165"/>
      <c r="M866" s="165"/>
      <c r="N866" s="165"/>
      <c r="O866" s="165"/>
      <c r="P866" s="165"/>
      <c r="Q866" s="165"/>
      <c r="R866" s="165"/>
      <c r="S866" s="165"/>
      <c r="T866" s="165"/>
      <c r="U866" s="165"/>
      <c r="V866" s="165"/>
      <c r="W866" s="165"/>
      <c r="X866" s="165"/>
      <c r="Y866" s="165"/>
      <c r="Z866" s="165"/>
      <c r="AA866" s="165"/>
      <c r="AB866" s="165"/>
      <c r="AC866" s="165"/>
      <c r="AD866" s="165"/>
      <c r="AE866" s="165"/>
      <c r="AF866" s="165"/>
      <c r="AG866" s="165"/>
      <c r="AH866" s="165"/>
      <c r="AI866" s="165"/>
    </row>
    <row r="867" spans="1:35" s="166" customFormat="1" ht="48">
      <c r="A867" s="848" t="s">
        <v>49</v>
      </c>
      <c r="B867" s="849">
        <v>563</v>
      </c>
      <c r="C867" s="850" t="s">
        <v>39</v>
      </c>
      <c r="D867" s="854">
        <v>3231</v>
      </c>
      <c r="E867" s="855" t="s">
        <v>79</v>
      </c>
      <c r="F867" s="853" t="s">
        <v>783</v>
      </c>
      <c r="G867" s="883"/>
      <c r="H867" s="879"/>
      <c r="I867" s="880"/>
      <c r="J867" s="165"/>
      <c r="K867" s="165"/>
      <c r="L867" s="165"/>
      <c r="M867" s="165"/>
      <c r="N867" s="165"/>
      <c r="O867" s="165"/>
      <c r="P867" s="165"/>
      <c r="Q867" s="165"/>
      <c r="R867" s="165"/>
      <c r="S867" s="165"/>
      <c r="T867" s="165"/>
      <c r="U867" s="165"/>
      <c r="V867" s="165"/>
      <c r="W867" s="165"/>
      <c r="X867" s="165"/>
      <c r="Y867" s="165"/>
      <c r="Z867" s="165"/>
      <c r="AA867" s="165"/>
      <c r="AB867" s="165"/>
      <c r="AC867" s="165"/>
      <c r="AD867" s="165"/>
      <c r="AE867" s="165"/>
      <c r="AF867" s="165"/>
      <c r="AG867" s="165"/>
      <c r="AH867" s="165"/>
      <c r="AI867" s="165"/>
    </row>
    <row r="868" spans="1:35" s="166" customFormat="1" ht="48">
      <c r="A868" s="848" t="s">
        <v>49</v>
      </c>
      <c r="B868" s="849">
        <v>563</v>
      </c>
      <c r="C868" s="850" t="s">
        <v>39</v>
      </c>
      <c r="D868" s="854">
        <v>3232</v>
      </c>
      <c r="E868" s="855" t="s">
        <v>80</v>
      </c>
      <c r="F868" s="853" t="s">
        <v>783</v>
      </c>
      <c r="G868" s="883"/>
      <c r="H868" s="879"/>
      <c r="I868" s="880"/>
      <c r="J868" s="165"/>
      <c r="K868" s="165"/>
      <c r="L868" s="165"/>
      <c r="M868" s="165"/>
      <c r="N868" s="165"/>
      <c r="O868" s="165"/>
      <c r="P868" s="165"/>
      <c r="Q868" s="165"/>
      <c r="R868" s="165"/>
      <c r="S868" s="165"/>
      <c r="T868" s="165"/>
      <c r="U868" s="165"/>
      <c r="V868" s="165"/>
      <c r="W868" s="165"/>
      <c r="X868" s="165"/>
      <c r="Y868" s="165"/>
      <c r="Z868" s="165"/>
      <c r="AA868" s="165"/>
      <c r="AB868" s="165"/>
      <c r="AC868" s="165"/>
      <c r="AD868" s="165"/>
      <c r="AE868" s="165"/>
      <c r="AF868" s="165"/>
      <c r="AG868" s="165"/>
      <c r="AH868" s="165"/>
      <c r="AI868" s="165"/>
    </row>
    <row r="869" spans="1:35" s="166" customFormat="1" ht="48">
      <c r="A869" s="848" t="s">
        <v>49</v>
      </c>
      <c r="B869" s="849">
        <v>563</v>
      </c>
      <c r="C869" s="850" t="s">
        <v>39</v>
      </c>
      <c r="D869" s="854">
        <v>3233</v>
      </c>
      <c r="E869" s="855" t="s">
        <v>81</v>
      </c>
      <c r="F869" s="853" t="s">
        <v>783</v>
      </c>
      <c r="G869" s="883"/>
      <c r="H869" s="879"/>
      <c r="I869" s="880"/>
      <c r="J869" s="165"/>
      <c r="K869" s="165"/>
      <c r="L869" s="165"/>
      <c r="M869" s="165"/>
      <c r="N869" s="165"/>
      <c r="O869" s="165"/>
      <c r="P869" s="165"/>
      <c r="Q869" s="165"/>
      <c r="R869" s="165"/>
      <c r="S869" s="165"/>
      <c r="T869" s="165"/>
      <c r="U869" s="165"/>
      <c r="V869" s="165"/>
      <c r="W869" s="165"/>
      <c r="X869" s="165"/>
      <c r="Y869" s="165"/>
      <c r="Z869" s="165"/>
      <c r="AA869" s="165"/>
      <c r="AB869" s="165"/>
      <c r="AC869" s="165"/>
      <c r="AD869" s="165"/>
      <c r="AE869" s="165"/>
      <c r="AF869" s="165"/>
      <c r="AG869" s="165"/>
      <c r="AH869" s="165"/>
      <c r="AI869" s="165"/>
    </row>
    <row r="870" spans="1:35" s="166" customFormat="1" ht="48">
      <c r="A870" s="848" t="s">
        <v>49</v>
      </c>
      <c r="B870" s="849">
        <v>563</v>
      </c>
      <c r="C870" s="850" t="s">
        <v>39</v>
      </c>
      <c r="D870" s="854">
        <v>3234</v>
      </c>
      <c r="E870" s="855" t="s">
        <v>87</v>
      </c>
      <c r="F870" s="853" t="s">
        <v>783</v>
      </c>
      <c r="G870" s="883"/>
      <c r="H870" s="879"/>
      <c r="I870" s="880"/>
      <c r="J870" s="165"/>
      <c r="K870" s="165"/>
      <c r="L870" s="165"/>
      <c r="M870" s="165"/>
      <c r="N870" s="165"/>
      <c r="O870" s="165"/>
      <c r="P870" s="165"/>
      <c r="Q870" s="165"/>
      <c r="R870" s="165"/>
      <c r="S870" s="165"/>
      <c r="T870" s="165"/>
      <c r="U870" s="165"/>
      <c r="V870" s="165"/>
      <c r="W870" s="165"/>
      <c r="X870" s="165"/>
      <c r="Y870" s="165"/>
      <c r="Z870" s="165"/>
      <c r="AA870" s="165"/>
      <c r="AB870" s="165"/>
      <c r="AC870" s="165"/>
      <c r="AD870" s="165"/>
      <c r="AE870" s="165"/>
      <c r="AF870" s="165"/>
      <c r="AG870" s="165"/>
      <c r="AH870" s="165"/>
      <c r="AI870" s="165"/>
    </row>
    <row r="871" spans="1:35" s="166" customFormat="1" ht="48">
      <c r="A871" s="848" t="s">
        <v>49</v>
      </c>
      <c r="B871" s="849">
        <v>563</v>
      </c>
      <c r="C871" s="850" t="s">
        <v>39</v>
      </c>
      <c r="D871" s="854">
        <v>3235</v>
      </c>
      <c r="E871" s="855" t="s">
        <v>88</v>
      </c>
      <c r="F871" s="853" t="s">
        <v>783</v>
      </c>
      <c r="G871" s="883"/>
      <c r="H871" s="879"/>
      <c r="I871" s="880"/>
      <c r="J871" s="165"/>
      <c r="K871" s="165"/>
      <c r="L871" s="165"/>
      <c r="M871" s="165"/>
      <c r="N871" s="165"/>
      <c r="O871" s="165"/>
      <c r="P871" s="165"/>
      <c r="Q871" s="165"/>
      <c r="R871" s="165"/>
      <c r="S871" s="165"/>
      <c r="T871" s="165"/>
      <c r="U871" s="165"/>
      <c r="V871" s="165"/>
      <c r="W871" s="165"/>
      <c r="X871" s="165"/>
      <c r="Y871" s="165"/>
      <c r="Z871" s="165"/>
      <c r="AA871" s="165"/>
      <c r="AB871" s="165"/>
      <c r="AC871" s="165"/>
      <c r="AD871" s="165"/>
      <c r="AE871" s="165"/>
      <c r="AF871" s="165"/>
      <c r="AG871" s="165"/>
      <c r="AH871" s="165"/>
      <c r="AI871" s="165"/>
    </row>
    <row r="872" spans="1:35" s="166" customFormat="1" ht="48">
      <c r="A872" s="848" t="s">
        <v>49</v>
      </c>
      <c r="B872" s="849">
        <v>563</v>
      </c>
      <c r="C872" s="850" t="s">
        <v>39</v>
      </c>
      <c r="D872" s="854">
        <v>3236</v>
      </c>
      <c r="E872" s="855" t="s">
        <v>54</v>
      </c>
      <c r="F872" s="853" t="s">
        <v>783</v>
      </c>
      <c r="G872" s="883"/>
      <c r="H872" s="879"/>
      <c r="I872" s="880"/>
      <c r="J872" s="165"/>
      <c r="K872" s="165"/>
      <c r="L872" s="165"/>
      <c r="M872" s="165"/>
      <c r="N872" s="165"/>
      <c r="O872" s="165"/>
      <c r="P872" s="165"/>
      <c r="Q872" s="165"/>
      <c r="R872" s="165"/>
      <c r="S872" s="165"/>
      <c r="T872" s="165"/>
      <c r="U872" s="165"/>
      <c r="V872" s="165"/>
      <c r="W872" s="165"/>
      <c r="X872" s="165"/>
      <c r="Y872" s="165"/>
      <c r="Z872" s="165"/>
      <c r="AA872" s="165"/>
      <c r="AB872" s="165"/>
      <c r="AC872" s="165"/>
      <c r="AD872" s="165"/>
      <c r="AE872" s="165"/>
      <c r="AF872" s="165"/>
      <c r="AG872" s="165"/>
      <c r="AH872" s="165"/>
      <c r="AI872" s="165"/>
    </row>
    <row r="873" spans="1:35" s="166" customFormat="1" ht="48">
      <c r="A873" s="848" t="s">
        <v>49</v>
      </c>
      <c r="B873" s="849">
        <v>563</v>
      </c>
      <c r="C873" s="850" t="s">
        <v>39</v>
      </c>
      <c r="D873" s="854">
        <v>3237</v>
      </c>
      <c r="E873" s="855" t="s">
        <v>62</v>
      </c>
      <c r="F873" s="853" t="s">
        <v>783</v>
      </c>
      <c r="G873" s="883"/>
      <c r="H873" s="879"/>
      <c r="I873" s="880"/>
      <c r="J873" s="165"/>
      <c r="K873" s="165"/>
      <c r="L873" s="165"/>
      <c r="M873" s="165"/>
      <c r="N873" s="165"/>
      <c r="O873" s="165"/>
      <c r="P873" s="165"/>
      <c r="Q873" s="165"/>
      <c r="R873" s="165"/>
      <c r="S873" s="165"/>
      <c r="T873" s="165"/>
      <c r="U873" s="165"/>
      <c r="V873" s="165"/>
      <c r="W873" s="165"/>
      <c r="X873" s="165"/>
      <c r="Y873" s="165"/>
      <c r="Z873" s="165"/>
      <c r="AA873" s="165"/>
      <c r="AB873" s="165"/>
      <c r="AC873" s="165"/>
      <c r="AD873" s="165"/>
      <c r="AE873" s="165"/>
      <c r="AF873" s="165"/>
      <c r="AG873" s="165"/>
      <c r="AH873" s="165"/>
      <c r="AI873" s="165"/>
    </row>
    <row r="874" spans="1:35" s="166" customFormat="1" ht="48">
      <c r="A874" s="848" t="s">
        <v>49</v>
      </c>
      <c r="B874" s="849">
        <v>563</v>
      </c>
      <c r="C874" s="850" t="s">
        <v>39</v>
      </c>
      <c r="D874" s="854">
        <v>3238</v>
      </c>
      <c r="E874" s="855" t="s">
        <v>82</v>
      </c>
      <c r="F874" s="853" t="s">
        <v>783</v>
      </c>
      <c r="G874" s="883"/>
      <c r="H874" s="879"/>
      <c r="I874" s="880"/>
      <c r="J874" s="165"/>
      <c r="K874" s="165"/>
      <c r="L874" s="165"/>
      <c r="M874" s="165"/>
      <c r="N874" s="165"/>
      <c r="O874" s="165"/>
      <c r="P874" s="165"/>
      <c r="Q874" s="165"/>
      <c r="R874" s="165"/>
      <c r="S874" s="165"/>
      <c r="T874" s="165"/>
      <c r="U874" s="165"/>
      <c r="V874" s="165"/>
      <c r="W874" s="165"/>
      <c r="X874" s="165"/>
      <c r="Y874" s="165"/>
      <c r="Z874" s="165"/>
      <c r="AA874" s="165"/>
      <c r="AB874" s="165"/>
      <c r="AC874" s="165"/>
      <c r="AD874" s="165"/>
      <c r="AE874" s="165"/>
      <c r="AF874" s="165"/>
      <c r="AG874" s="165"/>
      <c r="AH874" s="165"/>
      <c r="AI874" s="165"/>
    </row>
    <row r="875" spans="1:35" s="166" customFormat="1" ht="48">
      <c r="A875" s="848" t="s">
        <v>49</v>
      </c>
      <c r="B875" s="849">
        <v>563</v>
      </c>
      <c r="C875" s="850" t="s">
        <v>39</v>
      </c>
      <c r="D875" s="854">
        <v>3239</v>
      </c>
      <c r="E875" s="855" t="s">
        <v>66</v>
      </c>
      <c r="F875" s="853" t="s">
        <v>783</v>
      </c>
      <c r="G875" s="883"/>
      <c r="H875" s="879"/>
      <c r="I875" s="880"/>
      <c r="J875" s="165"/>
      <c r="K875" s="165"/>
      <c r="L875" s="165"/>
      <c r="M875" s="165"/>
      <c r="N875" s="165"/>
      <c r="O875" s="165"/>
      <c r="P875" s="165"/>
      <c r="Q875" s="165"/>
      <c r="R875" s="165"/>
      <c r="S875" s="165"/>
      <c r="T875" s="165"/>
      <c r="U875" s="165"/>
      <c r="V875" s="165"/>
      <c r="W875" s="165"/>
      <c r="X875" s="165"/>
      <c r="Y875" s="165"/>
      <c r="Z875" s="165"/>
      <c r="AA875" s="165"/>
      <c r="AB875" s="165"/>
      <c r="AC875" s="165"/>
      <c r="AD875" s="165"/>
      <c r="AE875" s="165"/>
      <c r="AF875" s="165"/>
      <c r="AG875" s="165"/>
      <c r="AH875" s="165"/>
      <c r="AI875" s="165"/>
    </row>
    <row r="876" spans="1:35" s="166" customFormat="1" ht="60">
      <c r="A876" s="848" t="s">
        <v>49</v>
      </c>
      <c r="B876" s="849">
        <v>563</v>
      </c>
      <c r="C876" s="850" t="s">
        <v>39</v>
      </c>
      <c r="D876" s="854">
        <v>3241</v>
      </c>
      <c r="E876" s="855" t="s">
        <v>67</v>
      </c>
      <c r="F876" s="853" t="s">
        <v>783</v>
      </c>
      <c r="G876" s="883"/>
      <c r="H876" s="879"/>
      <c r="I876" s="880"/>
      <c r="J876" s="165"/>
      <c r="K876" s="165"/>
      <c r="L876" s="165"/>
      <c r="M876" s="165"/>
      <c r="N876" s="165"/>
      <c r="O876" s="165"/>
      <c r="P876" s="165"/>
      <c r="Q876" s="165"/>
      <c r="R876" s="165"/>
      <c r="S876" s="165"/>
      <c r="T876" s="165"/>
      <c r="U876" s="165"/>
      <c r="V876" s="165"/>
      <c r="W876" s="165"/>
      <c r="X876" s="165"/>
      <c r="Y876" s="165"/>
      <c r="Z876" s="165"/>
      <c r="AA876" s="165"/>
      <c r="AB876" s="165"/>
      <c r="AC876" s="165"/>
      <c r="AD876" s="165"/>
      <c r="AE876" s="165"/>
      <c r="AF876" s="165"/>
      <c r="AG876" s="165"/>
      <c r="AH876" s="165"/>
      <c r="AI876" s="165"/>
    </row>
    <row r="877" spans="1:35" s="166" customFormat="1" ht="60">
      <c r="A877" s="848" t="s">
        <v>49</v>
      </c>
      <c r="B877" s="849">
        <v>563</v>
      </c>
      <c r="C877" s="850" t="s">
        <v>39</v>
      </c>
      <c r="D877" s="854">
        <v>3291</v>
      </c>
      <c r="E877" s="855" t="s">
        <v>713</v>
      </c>
      <c r="F877" s="853" t="s">
        <v>783</v>
      </c>
      <c r="G877" s="883"/>
      <c r="H877" s="879"/>
      <c r="I877" s="880"/>
      <c r="J877" s="165"/>
      <c r="K877" s="165"/>
      <c r="L877" s="165"/>
      <c r="M877" s="165"/>
      <c r="N877" s="165"/>
      <c r="O877" s="165"/>
      <c r="P877" s="165"/>
      <c r="Q877" s="165"/>
      <c r="R877" s="165"/>
      <c r="S877" s="165"/>
      <c r="T877" s="165"/>
      <c r="U877" s="165"/>
      <c r="V877" s="165"/>
      <c r="W877" s="165"/>
      <c r="X877" s="165"/>
      <c r="Y877" s="165"/>
      <c r="Z877" s="165"/>
      <c r="AA877" s="165"/>
      <c r="AB877" s="165"/>
      <c r="AC877" s="165"/>
      <c r="AD877" s="165"/>
      <c r="AE877" s="165"/>
      <c r="AF877" s="165"/>
      <c r="AG877" s="165"/>
      <c r="AH877" s="165"/>
      <c r="AI877" s="165"/>
    </row>
    <row r="878" spans="1:35" s="166" customFormat="1" ht="48">
      <c r="A878" s="848" t="s">
        <v>49</v>
      </c>
      <c r="B878" s="849">
        <v>563</v>
      </c>
      <c r="C878" s="850" t="s">
        <v>39</v>
      </c>
      <c r="D878" s="854">
        <v>3292</v>
      </c>
      <c r="E878" s="855" t="s">
        <v>59</v>
      </c>
      <c r="F878" s="853" t="s">
        <v>783</v>
      </c>
      <c r="G878" s="883"/>
      <c r="H878" s="879"/>
      <c r="I878" s="880"/>
      <c r="J878" s="165"/>
      <c r="K878" s="165"/>
      <c r="L878" s="165"/>
      <c r="M878" s="165"/>
      <c r="N878" s="165"/>
      <c r="O878" s="165"/>
      <c r="P878" s="165"/>
      <c r="Q878" s="165"/>
      <c r="R878" s="165"/>
      <c r="S878" s="165"/>
      <c r="T878" s="165"/>
      <c r="U878" s="165"/>
      <c r="V878" s="165"/>
      <c r="W878" s="165"/>
      <c r="X878" s="165"/>
      <c r="Y878" s="165"/>
      <c r="Z878" s="165"/>
      <c r="AA878" s="165"/>
      <c r="AB878" s="165"/>
      <c r="AC878" s="165"/>
      <c r="AD878" s="165"/>
      <c r="AE878" s="165"/>
      <c r="AF878" s="165"/>
      <c r="AG878" s="165"/>
      <c r="AH878" s="165"/>
      <c r="AI878" s="165"/>
    </row>
    <row r="879" spans="1:35" s="166" customFormat="1" ht="48">
      <c r="A879" s="848" t="s">
        <v>49</v>
      </c>
      <c r="B879" s="849">
        <v>563</v>
      </c>
      <c r="C879" s="850" t="s">
        <v>39</v>
      </c>
      <c r="D879" s="854">
        <v>3293</v>
      </c>
      <c r="E879" s="855" t="s">
        <v>68</v>
      </c>
      <c r="F879" s="853" t="s">
        <v>783</v>
      </c>
      <c r="G879" s="883"/>
      <c r="H879" s="879"/>
      <c r="I879" s="880"/>
      <c r="J879" s="165"/>
      <c r="K879" s="165"/>
      <c r="L879" s="165"/>
      <c r="M879" s="165"/>
      <c r="N879" s="165"/>
      <c r="O879" s="165"/>
      <c r="P879" s="165"/>
      <c r="Q879" s="165"/>
      <c r="R879" s="165"/>
      <c r="S879" s="165"/>
      <c r="T879" s="165"/>
      <c r="U879" s="165"/>
      <c r="V879" s="165"/>
      <c r="W879" s="165"/>
      <c r="X879" s="165"/>
      <c r="Y879" s="165"/>
      <c r="Z879" s="165"/>
      <c r="AA879" s="165"/>
      <c r="AB879" s="165"/>
      <c r="AC879" s="165"/>
      <c r="AD879" s="165"/>
      <c r="AE879" s="165"/>
      <c r="AF879" s="165"/>
      <c r="AG879" s="165"/>
      <c r="AH879" s="165"/>
      <c r="AI879" s="165"/>
    </row>
    <row r="880" spans="1:35" s="166" customFormat="1" ht="48">
      <c r="A880" s="848" t="s">
        <v>49</v>
      </c>
      <c r="B880" s="849">
        <v>563</v>
      </c>
      <c r="C880" s="850" t="s">
        <v>39</v>
      </c>
      <c r="D880" s="854">
        <v>3294</v>
      </c>
      <c r="E880" s="855" t="s">
        <v>69</v>
      </c>
      <c r="F880" s="853" t="s">
        <v>783</v>
      </c>
      <c r="G880" s="883"/>
      <c r="H880" s="879"/>
      <c r="I880" s="880"/>
      <c r="J880" s="165"/>
      <c r="K880" s="165"/>
      <c r="L880" s="165"/>
      <c r="M880" s="165"/>
      <c r="N880" s="165"/>
      <c r="O880" s="165"/>
      <c r="P880" s="165"/>
      <c r="Q880" s="165"/>
      <c r="R880" s="165"/>
      <c r="S880" s="165"/>
      <c r="T880" s="165"/>
      <c r="U880" s="165"/>
      <c r="V880" s="165"/>
      <c r="W880" s="165"/>
      <c r="X880" s="165"/>
      <c r="Y880" s="165"/>
      <c r="Z880" s="165"/>
      <c r="AA880" s="165"/>
      <c r="AB880" s="165"/>
      <c r="AC880" s="165"/>
      <c r="AD880" s="165"/>
      <c r="AE880" s="165"/>
      <c r="AF880" s="165"/>
      <c r="AG880" s="165"/>
      <c r="AH880" s="165"/>
      <c r="AI880" s="165"/>
    </row>
    <row r="881" spans="1:35" s="166" customFormat="1" ht="48">
      <c r="A881" s="848" t="s">
        <v>49</v>
      </c>
      <c r="B881" s="849">
        <v>563</v>
      </c>
      <c r="C881" s="850" t="s">
        <v>39</v>
      </c>
      <c r="D881" s="854">
        <v>3295</v>
      </c>
      <c r="E881" s="855" t="s">
        <v>55</v>
      </c>
      <c r="F881" s="853" t="s">
        <v>783</v>
      </c>
      <c r="G881" s="883"/>
      <c r="H881" s="879"/>
      <c r="I881" s="880"/>
      <c r="J881" s="165"/>
      <c r="K881" s="165"/>
      <c r="L881" s="165"/>
      <c r="M881" s="165"/>
      <c r="N881" s="165"/>
      <c r="O881" s="165"/>
      <c r="P881" s="165"/>
      <c r="Q881" s="165"/>
      <c r="R881" s="165"/>
      <c r="S881" s="165"/>
      <c r="T881" s="165"/>
      <c r="U881" s="165"/>
      <c r="V881" s="165"/>
      <c r="W881" s="165"/>
      <c r="X881" s="165"/>
      <c r="Y881" s="165"/>
      <c r="Z881" s="165"/>
      <c r="AA881" s="165"/>
      <c r="AB881" s="165"/>
      <c r="AC881" s="165"/>
      <c r="AD881" s="165"/>
      <c r="AE881" s="165"/>
      <c r="AF881" s="165"/>
      <c r="AG881" s="165"/>
      <c r="AH881" s="165"/>
      <c r="AI881" s="165"/>
    </row>
    <row r="882" spans="1:35" s="166" customFormat="1" ht="48">
      <c r="A882" s="848" t="s">
        <v>49</v>
      </c>
      <c r="B882" s="849">
        <v>563</v>
      </c>
      <c r="C882" s="850" t="s">
        <v>39</v>
      </c>
      <c r="D882" s="854">
        <v>3296</v>
      </c>
      <c r="E882" s="855" t="s">
        <v>97</v>
      </c>
      <c r="F882" s="853" t="s">
        <v>783</v>
      </c>
      <c r="G882" s="883"/>
      <c r="H882" s="879"/>
      <c r="I882" s="880"/>
      <c r="J882" s="165"/>
      <c r="K882" s="165"/>
      <c r="L882" s="165"/>
      <c r="M882" s="165"/>
      <c r="N882" s="165"/>
      <c r="O882" s="165"/>
      <c r="P882" s="165"/>
      <c r="Q882" s="165"/>
      <c r="R882" s="165"/>
      <c r="S882" s="165"/>
      <c r="T882" s="165"/>
      <c r="U882" s="165"/>
      <c r="V882" s="165"/>
      <c r="W882" s="165"/>
      <c r="X882" s="165"/>
      <c r="Y882" s="165"/>
      <c r="Z882" s="165"/>
      <c r="AA882" s="165"/>
      <c r="AB882" s="165"/>
      <c r="AC882" s="165"/>
      <c r="AD882" s="165"/>
      <c r="AE882" s="165"/>
      <c r="AF882" s="165"/>
      <c r="AG882" s="165"/>
      <c r="AH882" s="165"/>
      <c r="AI882" s="165"/>
    </row>
    <row r="883" spans="1:35" s="166" customFormat="1" ht="48">
      <c r="A883" s="848" t="s">
        <v>49</v>
      </c>
      <c r="B883" s="849">
        <v>563</v>
      </c>
      <c r="C883" s="850" t="s">
        <v>39</v>
      </c>
      <c r="D883" s="854">
        <v>3299</v>
      </c>
      <c r="E883" s="855" t="s">
        <v>57</v>
      </c>
      <c r="F883" s="853" t="s">
        <v>783</v>
      </c>
      <c r="G883" s="883"/>
      <c r="H883" s="879"/>
      <c r="I883" s="880"/>
      <c r="J883" s="165"/>
      <c r="K883" s="165"/>
      <c r="L883" s="165"/>
      <c r="M883" s="165"/>
      <c r="N883" s="165"/>
      <c r="O883" s="165"/>
      <c r="P883" s="165"/>
      <c r="Q883" s="165"/>
      <c r="R883" s="165"/>
      <c r="S883" s="165"/>
      <c r="T883" s="165"/>
      <c r="U883" s="165"/>
      <c r="V883" s="165"/>
      <c r="W883" s="165"/>
      <c r="X883" s="165"/>
      <c r="Y883" s="165"/>
      <c r="Z883" s="165"/>
      <c r="AA883" s="165"/>
      <c r="AB883" s="165"/>
      <c r="AC883" s="165"/>
      <c r="AD883" s="165"/>
      <c r="AE883" s="165"/>
      <c r="AF883" s="165"/>
      <c r="AG883" s="165"/>
      <c r="AH883" s="165"/>
      <c r="AI883" s="165"/>
    </row>
    <row r="884" spans="1:35" s="166" customFormat="1" ht="60">
      <c r="A884" s="848" t="s">
        <v>49</v>
      </c>
      <c r="B884" s="849">
        <v>563</v>
      </c>
      <c r="C884" s="850" t="s">
        <v>39</v>
      </c>
      <c r="D884" s="854">
        <v>3431</v>
      </c>
      <c r="E884" s="855" t="s">
        <v>70</v>
      </c>
      <c r="F884" s="853" t="s">
        <v>783</v>
      </c>
      <c r="G884" s="883"/>
      <c r="H884" s="879"/>
      <c r="I884" s="880"/>
      <c r="J884" s="165"/>
      <c r="K884" s="165"/>
      <c r="L884" s="165"/>
      <c r="M884" s="165"/>
      <c r="N884" s="165"/>
      <c r="O884" s="165"/>
      <c r="P884" s="165"/>
      <c r="Q884" s="165"/>
      <c r="R884" s="165"/>
      <c r="S884" s="165"/>
      <c r="T884" s="165"/>
      <c r="U884" s="165"/>
      <c r="V884" s="165"/>
      <c r="W884" s="165"/>
      <c r="X884" s="165"/>
      <c r="Y884" s="165"/>
      <c r="Z884" s="165"/>
      <c r="AA884" s="165"/>
      <c r="AB884" s="165"/>
      <c r="AC884" s="165"/>
      <c r="AD884" s="165"/>
      <c r="AE884" s="165"/>
      <c r="AF884" s="165"/>
      <c r="AG884" s="165"/>
      <c r="AH884" s="165"/>
      <c r="AI884" s="165"/>
    </row>
    <row r="885" spans="1:35" s="166" customFormat="1" ht="72">
      <c r="A885" s="848" t="s">
        <v>49</v>
      </c>
      <c r="B885" s="849">
        <v>563</v>
      </c>
      <c r="C885" s="850" t="s">
        <v>39</v>
      </c>
      <c r="D885" s="854">
        <v>3432</v>
      </c>
      <c r="E885" s="855" t="s">
        <v>71</v>
      </c>
      <c r="F885" s="853" t="s">
        <v>783</v>
      </c>
      <c r="G885" s="883"/>
      <c r="H885" s="879"/>
      <c r="I885" s="880"/>
      <c r="J885" s="165"/>
      <c r="K885" s="165"/>
      <c r="L885" s="165"/>
      <c r="M885" s="165"/>
      <c r="N885" s="165"/>
      <c r="O885" s="165"/>
      <c r="P885" s="165"/>
      <c r="Q885" s="165"/>
      <c r="R885" s="165"/>
      <c r="S885" s="165"/>
      <c r="T885" s="165"/>
      <c r="U885" s="165"/>
      <c r="V885" s="165"/>
      <c r="W885" s="165"/>
      <c r="X885" s="165"/>
      <c r="Y885" s="165"/>
      <c r="Z885" s="165"/>
      <c r="AA885" s="165"/>
      <c r="AB885" s="165"/>
      <c r="AC885" s="165"/>
      <c r="AD885" s="165"/>
      <c r="AE885" s="165"/>
      <c r="AF885" s="165"/>
      <c r="AG885" s="165"/>
      <c r="AH885" s="165"/>
      <c r="AI885" s="165"/>
    </row>
    <row r="886" spans="1:35" s="166" customFormat="1" ht="48">
      <c r="A886" s="848" t="s">
        <v>49</v>
      </c>
      <c r="B886" s="849">
        <v>563</v>
      </c>
      <c r="C886" s="850" t="s">
        <v>39</v>
      </c>
      <c r="D886" s="854">
        <v>3433</v>
      </c>
      <c r="E886" s="855" t="s">
        <v>725</v>
      </c>
      <c r="F886" s="853" t="s">
        <v>783</v>
      </c>
      <c r="G886" s="883"/>
      <c r="H886" s="879"/>
      <c r="I886" s="880"/>
      <c r="J886" s="165"/>
      <c r="K886" s="165"/>
      <c r="L886" s="165"/>
      <c r="M886" s="165"/>
      <c r="N886" s="165"/>
      <c r="O886" s="165"/>
      <c r="P886" s="165"/>
      <c r="Q886" s="165"/>
      <c r="R886" s="165"/>
      <c r="S886" s="165"/>
      <c r="T886" s="165"/>
      <c r="U886" s="165"/>
      <c r="V886" s="165"/>
      <c r="W886" s="165"/>
      <c r="X886" s="165"/>
      <c r="Y886" s="165"/>
      <c r="Z886" s="165"/>
      <c r="AA886" s="165"/>
      <c r="AB886" s="165"/>
      <c r="AC886" s="165"/>
      <c r="AD886" s="165"/>
      <c r="AE886" s="165"/>
      <c r="AF886" s="165"/>
      <c r="AG886" s="165"/>
      <c r="AH886" s="165"/>
      <c r="AI886" s="165"/>
    </row>
    <row r="887" spans="1:35" s="166" customFormat="1" ht="48">
      <c r="A887" s="848" t="s">
        <v>49</v>
      </c>
      <c r="B887" s="849">
        <v>563</v>
      </c>
      <c r="C887" s="850" t="s">
        <v>39</v>
      </c>
      <c r="D887" s="854">
        <v>3434</v>
      </c>
      <c r="E887" s="855" t="s">
        <v>94</v>
      </c>
      <c r="F887" s="853" t="s">
        <v>783</v>
      </c>
      <c r="G887" s="883"/>
      <c r="H887" s="879"/>
      <c r="I887" s="880"/>
      <c r="J887" s="165"/>
      <c r="K887" s="165"/>
      <c r="L887" s="165"/>
      <c r="M887" s="165"/>
      <c r="N887" s="165"/>
      <c r="O887" s="165"/>
      <c r="P887" s="165"/>
      <c r="Q887" s="165"/>
      <c r="R887" s="165"/>
      <c r="S887" s="165"/>
      <c r="T887" s="165"/>
      <c r="U887" s="165"/>
      <c r="V887" s="165"/>
      <c r="W887" s="165"/>
      <c r="X887" s="165"/>
      <c r="Y887" s="165"/>
      <c r="Z887" s="165"/>
      <c r="AA887" s="165"/>
      <c r="AB887" s="165"/>
      <c r="AC887" s="165"/>
      <c r="AD887" s="165"/>
      <c r="AE887" s="165"/>
      <c r="AF887" s="165"/>
      <c r="AG887" s="165"/>
      <c r="AH887" s="165"/>
      <c r="AI887" s="165"/>
    </row>
    <row r="888" spans="1:35" s="166" customFormat="1" ht="48">
      <c r="A888" s="848" t="s">
        <v>49</v>
      </c>
      <c r="B888" s="849">
        <v>563</v>
      </c>
      <c r="C888" s="850" t="s">
        <v>39</v>
      </c>
      <c r="D888" s="854">
        <v>3522</v>
      </c>
      <c r="E888" s="855" t="s">
        <v>755</v>
      </c>
      <c r="F888" s="853" t="s">
        <v>783</v>
      </c>
      <c r="G888" s="883"/>
      <c r="H888" s="879"/>
      <c r="I888" s="880"/>
      <c r="J888" s="165"/>
      <c r="K888" s="165"/>
      <c r="L888" s="165"/>
      <c r="M888" s="165"/>
      <c r="N888" s="165"/>
      <c r="O888" s="165"/>
      <c r="P888" s="165"/>
      <c r="Q888" s="165"/>
      <c r="R888" s="165"/>
      <c r="S888" s="165"/>
      <c r="T888" s="165"/>
      <c r="U888" s="165"/>
      <c r="V888" s="165"/>
      <c r="W888" s="165"/>
      <c r="X888" s="165"/>
      <c r="Y888" s="165"/>
      <c r="Z888" s="165"/>
      <c r="AA888" s="165"/>
      <c r="AB888" s="165"/>
      <c r="AC888" s="165"/>
      <c r="AD888" s="165"/>
      <c r="AE888" s="165"/>
      <c r="AF888" s="165"/>
      <c r="AG888" s="165"/>
      <c r="AH888" s="165"/>
      <c r="AI888" s="165"/>
    </row>
    <row r="889" spans="1:35" s="166" customFormat="1" ht="84">
      <c r="A889" s="848" t="s">
        <v>49</v>
      </c>
      <c r="B889" s="849">
        <v>563</v>
      </c>
      <c r="C889" s="850" t="s">
        <v>39</v>
      </c>
      <c r="D889" s="854">
        <v>3691</v>
      </c>
      <c r="E889" s="855" t="s">
        <v>36</v>
      </c>
      <c r="F889" s="853" t="s">
        <v>783</v>
      </c>
      <c r="G889" s="883"/>
      <c r="H889" s="879"/>
      <c r="I889" s="880"/>
      <c r="J889" s="165"/>
      <c r="K889" s="165"/>
      <c r="L889" s="165"/>
      <c r="M889" s="165"/>
      <c r="N889" s="165"/>
      <c r="O889" s="165"/>
      <c r="P889" s="165"/>
      <c r="Q889" s="165"/>
      <c r="R889" s="165"/>
      <c r="S889" s="165"/>
      <c r="T889" s="165"/>
      <c r="U889" s="165"/>
      <c r="V889" s="165"/>
      <c r="W889" s="165"/>
      <c r="X889" s="165"/>
      <c r="Y889" s="165"/>
      <c r="Z889" s="165"/>
      <c r="AA889" s="165"/>
      <c r="AB889" s="165"/>
      <c r="AC889" s="165"/>
      <c r="AD889" s="165"/>
      <c r="AE889" s="165"/>
      <c r="AF889" s="165"/>
      <c r="AG889" s="165"/>
      <c r="AH889" s="165"/>
      <c r="AI889" s="165"/>
    </row>
    <row r="890" spans="1:35" s="166" customFormat="1" ht="84">
      <c r="A890" s="848" t="s">
        <v>49</v>
      </c>
      <c r="B890" s="849">
        <v>563</v>
      </c>
      <c r="C890" s="850" t="s">
        <v>39</v>
      </c>
      <c r="D890" s="854">
        <v>3692</v>
      </c>
      <c r="E890" s="855" t="s">
        <v>695</v>
      </c>
      <c r="F890" s="853" t="s">
        <v>783</v>
      </c>
      <c r="G890" s="883"/>
      <c r="H890" s="879"/>
      <c r="I890" s="880"/>
      <c r="J890" s="165"/>
      <c r="K890" s="165"/>
      <c r="L890" s="165"/>
      <c r="M890" s="165"/>
      <c r="N890" s="165"/>
      <c r="O890" s="165"/>
      <c r="P890" s="165"/>
      <c r="Q890" s="165"/>
      <c r="R890" s="165"/>
      <c r="S890" s="165"/>
      <c r="T890" s="165"/>
      <c r="U890" s="165"/>
      <c r="V890" s="165"/>
      <c r="W890" s="165"/>
      <c r="X890" s="165"/>
      <c r="Y890" s="165"/>
      <c r="Z890" s="165"/>
      <c r="AA890" s="165"/>
      <c r="AB890" s="165"/>
      <c r="AC890" s="165"/>
      <c r="AD890" s="165"/>
      <c r="AE890" s="165"/>
      <c r="AF890" s="165"/>
      <c r="AG890" s="165"/>
      <c r="AH890" s="165"/>
      <c r="AI890" s="165"/>
    </row>
    <row r="891" spans="1:35" s="166" customFormat="1" ht="120">
      <c r="A891" s="848" t="s">
        <v>49</v>
      </c>
      <c r="B891" s="849">
        <v>563</v>
      </c>
      <c r="C891" s="850" t="s">
        <v>39</v>
      </c>
      <c r="D891" s="854">
        <v>3693</v>
      </c>
      <c r="E891" s="855" t="s">
        <v>37</v>
      </c>
      <c r="F891" s="853" t="s">
        <v>783</v>
      </c>
      <c r="G891" s="883"/>
      <c r="H891" s="879"/>
      <c r="I891" s="880"/>
      <c r="J891" s="165"/>
      <c r="K891" s="165"/>
      <c r="L891" s="165"/>
      <c r="M891" s="165"/>
      <c r="N891" s="165"/>
      <c r="O891" s="165"/>
      <c r="P891" s="165"/>
      <c r="Q891" s="165"/>
      <c r="R891" s="165"/>
      <c r="S891" s="165"/>
      <c r="T891" s="165"/>
      <c r="U891" s="165"/>
      <c r="V891" s="165"/>
      <c r="W891" s="165"/>
      <c r="X891" s="165"/>
      <c r="Y891" s="165"/>
      <c r="Z891" s="165"/>
      <c r="AA891" s="165"/>
      <c r="AB891" s="165"/>
      <c r="AC891" s="165"/>
      <c r="AD891" s="165"/>
      <c r="AE891" s="165"/>
      <c r="AF891" s="165"/>
      <c r="AG891" s="165"/>
      <c r="AH891" s="165"/>
      <c r="AI891" s="165"/>
    </row>
    <row r="892" spans="1:35" s="166" customFormat="1" ht="48">
      <c r="A892" s="848" t="s">
        <v>49</v>
      </c>
      <c r="B892" s="849">
        <v>563</v>
      </c>
      <c r="C892" s="850" t="s">
        <v>39</v>
      </c>
      <c r="D892" s="854">
        <v>3721</v>
      </c>
      <c r="E892" s="855" t="s">
        <v>84</v>
      </c>
      <c r="F892" s="853" t="s">
        <v>783</v>
      </c>
      <c r="G892" s="883"/>
      <c r="H892" s="879"/>
      <c r="I892" s="880"/>
      <c r="J892" s="165"/>
      <c r="K892" s="165"/>
      <c r="L892" s="165"/>
      <c r="M892" s="165"/>
      <c r="N892" s="165"/>
      <c r="O892" s="165"/>
      <c r="P892" s="165"/>
      <c r="Q892" s="165"/>
      <c r="R892" s="165"/>
      <c r="S892" s="165"/>
      <c r="T892" s="165"/>
      <c r="U892" s="165"/>
      <c r="V892" s="165"/>
      <c r="W892" s="165"/>
      <c r="X892" s="165"/>
      <c r="Y892" s="165"/>
      <c r="Z892" s="165"/>
      <c r="AA892" s="165"/>
      <c r="AB892" s="165"/>
      <c r="AC892" s="165"/>
      <c r="AD892" s="165"/>
      <c r="AE892" s="165"/>
      <c r="AF892" s="165"/>
      <c r="AG892" s="165"/>
      <c r="AH892" s="165"/>
      <c r="AI892" s="165"/>
    </row>
    <row r="893" spans="1:35" s="166" customFormat="1" ht="48">
      <c r="A893" s="848" t="s">
        <v>49</v>
      </c>
      <c r="B893" s="849">
        <v>563</v>
      </c>
      <c r="C893" s="850" t="s">
        <v>39</v>
      </c>
      <c r="D893" s="854">
        <v>3811</v>
      </c>
      <c r="E893" s="855" t="s">
        <v>56</v>
      </c>
      <c r="F893" s="853" t="s">
        <v>783</v>
      </c>
      <c r="G893" s="883"/>
      <c r="H893" s="879"/>
      <c r="I893" s="880"/>
      <c r="J893" s="165"/>
      <c r="K893" s="165"/>
      <c r="L893" s="165"/>
      <c r="M893" s="165"/>
      <c r="N893" s="165"/>
      <c r="O893" s="165"/>
      <c r="P893" s="165"/>
      <c r="Q893" s="165"/>
      <c r="R893" s="165"/>
      <c r="S893" s="165"/>
      <c r="T893" s="165"/>
      <c r="U893" s="165"/>
      <c r="V893" s="165"/>
      <c r="W893" s="165"/>
      <c r="X893" s="165"/>
      <c r="Y893" s="165"/>
      <c r="Z893" s="165"/>
      <c r="AA893" s="165"/>
      <c r="AB893" s="165"/>
      <c r="AC893" s="165"/>
      <c r="AD893" s="165"/>
      <c r="AE893" s="165"/>
      <c r="AF893" s="165"/>
      <c r="AG893" s="165"/>
      <c r="AH893" s="165"/>
      <c r="AI893" s="165"/>
    </row>
    <row r="894" spans="1:35" s="166" customFormat="1" ht="48">
      <c r="A894" s="848" t="s">
        <v>49</v>
      </c>
      <c r="B894" s="849">
        <v>563</v>
      </c>
      <c r="C894" s="850" t="s">
        <v>39</v>
      </c>
      <c r="D894" s="854">
        <v>383</v>
      </c>
      <c r="E894" s="855" t="s">
        <v>756</v>
      </c>
      <c r="F894" s="853" t="s">
        <v>783</v>
      </c>
      <c r="G894" s="883"/>
      <c r="H894" s="879"/>
      <c r="I894" s="880"/>
      <c r="J894" s="165"/>
      <c r="K894" s="165"/>
      <c r="L894" s="165"/>
      <c r="M894" s="165"/>
      <c r="N894" s="165"/>
      <c r="O894" s="165"/>
      <c r="P894" s="165"/>
      <c r="Q894" s="165"/>
      <c r="R894" s="165"/>
      <c r="S894" s="165"/>
      <c r="T894" s="165"/>
      <c r="U894" s="165"/>
      <c r="V894" s="165"/>
      <c r="W894" s="165"/>
      <c r="X894" s="165"/>
      <c r="Y894" s="165"/>
      <c r="Z894" s="165"/>
      <c r="AA894" s="165"/>
      <c r="AB894" s="165"/>
      <c r="AC894" s="165"/>
      <c r="AD894" s="165"/>
      <c r="AE894" s="165"/>
      <c r="AF894" s="165"/>
      <c r="AG894" s="165"/>
      <c r="AH894" s="165"/>
      <c r="AI894" s="165"/>
    </row>
    <row r="895" spans="1:35" s="166" customFormat="1" ht="48">
      <c r="A895" s="848" t="s">
        <v>49</v>
      </c>
      <c r="B895" s="849">
        <v>563</v>
      </c>
      <c r="C895" s="850" t="s">
        <v>39</v>
      </c>
      <c r="D895" s="854">
        <v>4123</v>
      </c>
      <c r="E895" s="855" t="s">
        <v>92</v>
      </c>
      <c r="F895" s="853" t="s">
        <v>783</v>
      </c>
      <c r="G895" s="883"/>
      <c r="H895" s="879"/>
      <c r="I895" s="880"/>
      <c r="J895" s="165"/>
      <c r="K895" s="165"/>
      <c r="L895" s="165"/>
      <c r="M895" s="165"/>
      <c r="N895" s="165"/>
      <c r="O895" s="165"/>
      <c r="P895" s="165"/>
      <c r="Q895" s="165"/>
      <c r="R895" s="165"/>
      <c r="S895" s="165"/>
      <c r="T895" s="165"/>
      <c r="U895" s="165"/>
      <c r="V895" s="165"/>
      <c r="W895" s="165"/>
      <c r="X895" s="165"/>
      <c r="Y895" s="165"/>
      <c r="Z895" s="165"/>
      <c r="AA895" s="165"/>
      <c r="AB895" s="165"/>
      <c r="AC895" s="165"/>
      <c r="AD895" s="165"/>
      <c r="AE895" s="165"/>
      <c r="AF895" s="165"/>
      <c r="AG895" s="165"/>
      <c r="AH895" s="165"/>
      <c r="AI895" s="165"/>
    </row>
    <row r="896" spans="1:35" s="166" customFormat="1" ht="60">
      <c r="A896" s="848" t="s">
        <v>49</v>
      </c>
      <c r="B896" s="849">
        <v>563</v>
      </c>
      <c r="C896" s="850" t="s">
        <v>39</v>
      </c>
      <c r="D896" s="854">
        <v>4124</v>
      </c>
      <c r="E896" s="855" t="s">
        <v>721</v>
      </c>
      <c r="F896" s="853" t="s">
        <v>783</v>
      </c>
      <c r="G896" s="883"/>
      <c r="H896" s="879"/>
      <c r="I896" s="880"/>
      <c r="J896" s="165"/>
      <c r="K896" s="165"/>
      <c r="L896" s="165"/>
      <c r="M896" s="165"/>
      <c r="N896" s="165"/>
      <c r="O896" s="165"/>
      <c r="P896" s="165"/>
      <c r="Q896" s="165"/>
      <c r="R896" s="165"/>
      <c r="S896" s="165"/>
      <c r="T896" s="165"/>
      <c r="U896" s="165"/>
      <c r="V896" s="165"/>
      <c r="W896" s="165"/>
      <c r="X896" s="165"/>
      <c r="Y896" s="165"/>
      <c r="Z896" s="165"/>
      <c r="AA896" s="165"/>
      <c r="AB896" s="165"/>
      <c r="AC896" s="165"/>
      <c r="AD896" s="165"/>
      <c r="AE896" s="165"/>
      <c r="AF896" s="165"/>
      <c r="AG896" s="165"/>
      <c r="AH896" s="165"/>
      <c r="AI896" s="165"/>
    </row>
    <row r="897" spans="1:35" s="166" customFormat="1" ht="48">
      <c r="A897" s="848" t="s">
        <v>49</v>
      </c>
      <c r="B897" s="849">
        <v>563</v>
      </c>
      <c r="C897" s="850" t="s">
        <v>39</v>
      </c>
      <c r="D897" s="854">
        <v>4126</v>
      </c>
      <c r="E897" s="855" t="s">
        <v>757</v>
      </c>
      <c r="F897" s="853" t="s">
        <v>783</v>
      </c>
      <c r="G897" s="883"/>
      <c r="H897" s="879"/>
      <c r="I897" s="880"/>
      <c r="J897" s="165"/>
      <c r="K897" s="165"/>
      <c r="L897" s="165"/>
      <c r="M897" s="165"/>
      <c r="N897" s="165"/>
      <c r="O897" s="165"/>
      <c r="P897" s="165"/>
      <c r="Q897" s="165"/>
      <c r="R897" s="165"/>
      <c r="S897" s="165"/>
      <c r="T897" s="165"/>
      <c r="U897" s="165"/>
      <c r="V897" s="165"/>
      <c r="W897" s="165"/>
      <c r="X897" s="165"/>
      <c r="Y897" s="165"/>
      <c r="Z897" s="165"/>
      <c r="AA897" s="165"/>
      <c r="AB897" s="165"/>
      <c r="AC897" s="165"/>
      <c r="AD897" s="165"/>
      <c r="AE897" s="165"/>
      <c r="AF897" s="165"/>
      <c r="AG897" s="165"/>
      <c r="AH897" s="165"/>
      <c r="AI897" s="165"/>
    </row>
    <row r="898" spans="1:35" s="166" customFormat="1" ht="48">
      <c r="A898" s="848" t="s">
        <v>49</v>
      </c>
      <c r="B898" s="849">
        <v>563</v>
      </c>
      <c r="C898" s="850" t="s">
        <v>39</v>
      </c>
      <c r="D898" s="854">
        <v>4212</v>
      </c>
      <c r="E898" s="855" t="s">
        <v>58</v>
      </c>
      <c r="F898" s="853" t="s">
        <v>783</v>
      </c>
      <c r="G898" s="883"/>
      <c r="H898" s="879"/>
      <c r="I898" s="880"/>
      <c r="J898" s="165"/>
      <c r="K898" s="165"/>
      <c r="L898" s="165"/>
      <c r="M898" s="165"/>
      <c r="N898" s="165"/>
      <c r="O898" s="165"/>
      <c r="P898" s="165"/>
      <c r="Q898" s="165"/>
      <c r="R898" s="165"/>
      <c r="S898" s="165"/>
      <c r="T898" s="165"/>
      <c r="U898" s="165"/>
      <c r="V898" s="165"/>
      <c r="W898" s="165"/>
      <c r="X898" s="165"/>
      <c r="Y898" s="165"/>
      <c r="Z898" s="165"/>
      <c r="AA898" s="165"/>
      <c r="AB898" s="165"/>
      <c r="AC898" s="165"/>
      <c r="AD898" s="165"/>
      <c r="AE898" s="165"/>
      <c r="AF898" s="165"/>
      <c r="AG898" s="165"/>
      <c r="AH898" s="165"/>
      <c r="AI898" s="165"/>
    </row>
    <row r="899" spans="1:35" s="166" customFormat="1" ht="60">
      <c r="A899" s="848" t="s">
        <v>49</v>
      </c>
      <c r="B899" s="849">
        <v>563</v>
      </c>
      <c r="C899" s="850" t="s">
        <v>39</v>
      </c>
      <c r="D899" s="854">
        <v>4213</v>
      </c>
      <c r="E899" s="855" t="s">
        <v>758</v>
      </c>
      <c r="F899" s="853" t="s">
        <v>783</v>
      </c>
      <c r="G899" s="883"/>
      <c r="H899" s="879"/>
      <c r="I899" s="880"/>
      <c r="J899" s="165"/>
      <c r="K899" s="165"/>
      <c r="L899" s="165"/>
      <c r="M899" s="165"/>
      <c r="N899" s="165"/>
      <c r="O899" s="165"/>
      <c r="P899" s="165"/>
      <c r="Q899" s="165"/>
      <c r="R899" s="165"/>
      <c r="S899" s="165"/>
      <c r="T899" s="165"/>
      <c r="U899" s="165"/>
      <c r="V899" s="165"/>
      <c r="W899" s="165"/>
      <c r="X899" s="165"/>
      <c r="Y899" s="165"/>
      <c r="Z899" s="165"/>
      <c r="AA899" s="165"/>
      <c r="AB899" s="165"/>
      <c r="AC899" s="165"/>
      <c r="AD899" s="165"/>
      <c r="AE899" s="165"/>
      <c r="AF899" s="165"/>
      <c r="AG899" s="165"/>
      <c r="AH899" s="165"/>
      <c r="AI899" s="165"/>
    </row>
    <row r="900" spans="1:35" s="166" customFormat="1" ht="48">
      <c r="A900" s="848" t="s">
        <v>49</v>
      </c>
      <c r="B900" s="849">
        <v>563</v>
      </c>
      <c r="C900" s="850" t="s">
        <v>39</v>
      </c>
      <c r="D900" s="854">
        <v>4214</v>
      </c>
      <c r="E900" s="855" t="s">
        <v>719</v>
      </c>
      <c r="F900" s="853" t="s">
        <v>783</v>
      </c>
      <c r="G900" s="883"/>
      <c r="H900" s="879"/>
      <c r="I900" s="880"/>
      <c r="J900" s="165"/>
      <c r="K900" s="165"/>
      <c r="L900" s="165"/>
      <c r="M900" s="165"/>
      <c r="N900" s="165"/>
      <c r="O900" s="165"/>
      <c r="P900" s="165"/>
      <c r="Q900" s="165"/>
      <c r="R900" s="165"/>
      <c r="S900" s="165"/>
      <c r="T900" s="165"/>
      <c r="U900" s="165"/>
      <c r="V900" s="165"/>
      <c r="W900" s="165"/>
      <c r="X900" s="165"/>
      <c r="Y900" s="165"/>
      <c r="Z900" s="165"/>
      <c r="AA900" s="165"/>
      <c r="AB900" s="165"/>
      <c r="AC900" s="165"/>
      <c r="AD900" s="165"/>
      <c r="AE900" s="165"/>
      <c r="AF900" s="165"/>
      <c r="AG900" s="165"/>
      <c r="AH900" s="165"/>
      <c r="AI900" s="165"/>
    </row>
    <row r="901" spans="1:35" s="166" customFormat="1" ht="48">
      <c r="A901" s="856" t="s">
        <v>49</v>
      </c>
      <c r="B901" s="854">
        <v>563</v>
      </c>
      <c r="C901" s="857" t="s">
        <v>39</v>
      </c>
      <c r="D901" s="854">
        <v>4221</v>
      </c>
      <c r="E901" s="855" t="s">
        <v>63</v>
      </c>
      <c r="F901" s="853" t="s">
        <v>783</v>
      </c>
      <c r="G901" s="883"/>
      <c r="H901" s="879"/>
      <c r="I901" s="880"/>
      <c r="J901" s="165"/>
      <c r="K901" s="165"/>
      <c r="L901" s="165"/>
      <c r="M901" s="165"/>
      <c r="N901" s="165"/>
      <c r="O901" s="165"/>
      <c r="P901" s="165"/>
      <c r="Q901" s="165"/>
      <c r="R901" s="165"/>
      <c r="S901" s="165"/>
      <c r="T901" s="165"/>
      <c r="U901" s="165"/>
      <c r="V901" s="165"/>
      <c r="W901" s="165"/>
      <c r="X901" s="165"/>
      <c r="Y901" s="165"/>
      <c r="Z901" s="165"/>
      <c r="AA901" s="165"/>
      <c r="AB901" s="165"/>
      <c r="AC901" s="165"/>
      <c r="AD901" s="165"/>
      <c r="AE901" s="165"/>
      <c r="AF901" s="165"/>
      <c r="AG901" s="165"/>
      <c r="AH901" s="165"/>
      <c r="AI901" s="165"/>
    </row>
    <row r="902" spans="1:35" s="166" customFormat="1" ht="48">
      <c r="A902" s="856" t="s">
        <v>49</v>
      </c>
      <c r="B902" s="854">
        <v>563</v>
      </c>
      <c r="C902" s="857" t="s">
        <v>39</v>
      </c>
      <c r="D902" s="854">
        <v>4222</v>
      </c>
      <c r="E902" s="855" t="s">
        <v>72</v>
      </c>
      <c r="F902" s="853" t="s">
        <v>783</v>
      </c>
      <c r="G902" s="883"/>
      <c r="H902" s="879"/>
      <c r="I902" s="880"/>
      <c r="J902" s="165"/>
      <c r="K902" s="165"/>
      <c r="L902" s="165"/>
      <c r="M902" s="165"/>
      <c r="N902" s="165"/>
      <c r="O902" s="165"/>
      <c r="P902" s="165"/>
      <c r="Q902" s="165"/>
      <c r="R902" s="165"/>
      <c r="S902" s="165"/>
      <c r="T902" s="165"/>
      <c r="U902" s="165"/>
      <c r="V902" s="165"/>
      <c r="W902" s="165"/>
      <c r="X902" s="165"/>
      <c r="Y902" s="165"/>
      <c r="Z902" s="165"/>
      <c r="AA902" s="165"/>
      <c r="AB902" s="165"/>
      <c r="AC902" s="165"/>
      <c r="AD902" s="165"/>
      <c r="AE902" s="165"/>
      <c r="AF902" s="165"/>
      <c r="AG902" s="165"/>
      <c r="AH902" s="165"/>
      <c r="AI902" s="165"/>
    </row>
    <row r="903" spans="1:35" s="166" customFormat="1" ht="48">
      <c r="A903" s="856" t="s">
        <v>49</v>
      </c>
      <c r="B903" s="854">
        <v>563</v>
      </c>
      <c r="C903" s="857" t="s">
        <v>39</v>
      </c>
      <c r="D903" s="854">
        <v>4223</v>
      </c>
      <c r="E903" s="855" t="s">
        <v>90</v>
      </c>
      <c r="F903" s="853" t="s">
        <v>783</v>
      </c>
      <c r="G903" s="883"/>
      <c r="H903" s="879"/>
      <c r="I903" s="880"/>
      <c r="J903" s="165"/>
      <c r="K903" s="165"/>
      <c r="L903" s="165"/>
      <c r="M903" s="165"/>
      <c r="N903" s="165"/>
      <c r="O903" s="165"/>
      <c r="P903" s="165"/>
      <c r="Q903" s="165"/>
      <c r="R903" s="165"/>
      <c r="S903" s="165"/>
      <c r="T903" s="165"/>
      <c r="U903" s="165"/>
      <c r="V903" s="165"/>
      <c r="W903" s="165"/>
      <c r="X903" s="165"/>
      <c r="Y903" s="165"/>
      <c r="Z903" s="165"/>
      <c r="AA903" s="165"/>
      <c r="AB903" s="165"/>
      <c r="AC903" s="165"/>
      <c r="AD903" s="165"/>
      <c r="AE903" s="165"/>
      <c r="AF903" s="165"/>
      <c r="AG903" s="165"/>
      <c r="AH903" s="165"/>
      <c r="AI903" s="165"/>
    </row>
    <row r="904" spans="1:35" s="166" customFormat="1" ht="48">
      <c r="A904" s="856" t="s">
        <v>49</v>
      </c>
      <c r="B904" s="854">
        <v>563</v>
      </c>
      <c r="C904" s="857" t="s">
        <v>39</v>
      </c>
      <c r="D904" s="854">
        <v>4224</v>
      </c>
      <c r="E904" s="855" t="s">
        <v>73</v>
      </c>
      <c r="F904" s="853" t="s">
        <v>783</v>
      </c>
      <c r="G904" s="883"/>
      <c r="H904" s="879"/>
      <c r="I904" s="880"/>
      <c r="J904" s="165"/>
      <c r="K904" s="165"/>
      <c r="L904" s="165"/>
      <c r="M904" s="165"/>
      <c r="N904" s="165"/>
      <c r="O904" s="165"/>
      <c r="P904" s="165"/>
      <c r="Q904" s="165"/>
      <c r="R904" s="165"/>
      <c r="S904" s="165"/>
      <c r="T904" s="165"/>
      <c r="U904" s="165"/>
      <c r="V904" s="165"/>
      <c r="W904" s="165"/>
      <c r="X904" s="165"/>
      <c r="Y904" s="165"/>
      <c r="Z904" s="165"/>
      <c r="AA904" s="165"/>
      <c r="AB904" s="165"/>
      <c r="AC904" s="165"/>
      <c r="AD904" s="165"/>
      <c r="AE904" s="165"/>
      <c r="AF904" s="165"/>
      <c r="AG904" s="165"/>
      <c r="AH904" s="165"/>
      <c r="AI904" s="165"/>
    </row>
    <row r="905" spans="1:35" s="166" customFormat="1" ht="48">
      <c r="A905" s="856" t="s">
        <v>49</v>
      </c>
      <c r="B905" s="854">
        <v>563</v>
      </c>
      <c r="C905" s="857" t="s">
        <v>39</v>
      </c>
      <c r="D905" s="854">
        <v>4225</v>
      </c>
      <c r="E905" s="855" t="s">
        <v>85</v>
      </c>
      <c r="F905" s="853" t="s">
        <v>783</v>
      </c>
      <c r="G905" s="883"/>
      <c r="H905" s="879"/>
      <c r="I905" s="880"/>
      <c r="J905" s="165"/>
      <c r="K905" s="165"/>
      <c r="L905" s="165"/>
      <c r="M905" s="165"/>
      <c r="N905" s="165"/>
      <c r="O905" s="165"/>
      <c r="P905" s="165"/>
      <c r="Q905" s="165"/>
      <c r="R905" s="165"/>
      <c r="S905" s="165"/>
      <c r="T905" s="165"/>
      <c r="U905" s="165"/>
      <c r="V905" s="165"/>
      <c r="W905" s="165"/>
      <c r="X905" s="165"/>
      <c r="Y905" s="165"/>
      <c r="Z905" s="165"/>
      <c r="AA905" s="165"/>
      <c r="AB905" s="165"/>
      <c r="AC905" s="165"/>
      <c r="AD905" s="165"/>
      <c r="AE905" s="165"/>
      <c r="AF905" s="165"/>
      <c r="AG905" s="165"/>
      <c r="AH905" s="165"/>
      <c r="AI905" s="165"/>
    </row>
    <row r="906" spans="1:35" s="166" customFormat="1" ht="48">
      <c r="A906" s="856" t="s">
        <v>49</v>
      </c>
      <c r="B906" s="854">
        <v>563</v>
      </c>
      <c r="C906" s="857" t="s">
        <v>39</v>
      </c>
      <c r="D906" s="854">
        <v>4226</v>
      </c>
      <c r="E906" s="855" t="s">
        <v>716</v>
      </c>
      <c r="F906" s="853" t="s">
        <v>783</v>
      </c>
      <c r="G906" s="883"/>
      <c r="H906" s="879"/>
      <c r="I906" s="880"/>
      <c r="J906" s="165"/>
      <c r="K906" s="165"/>
      <c r="L906" s="165"/>
      <c r="M906" s="165"/>
      <c r="N906" s="165"/>
      <c r="O906" s="165"/>
      <c r="P906" s="165"/>
      <c r="Q906" s="165"/>
      <c r="R906" s="165"/>
      <c r="S906" s="165"/>
      <c r="T906" s="165"/>
      <c r="U906" s="165"/>
      <c r="V906" s="165"/>
      <c r="W906" s="165"/>
      <c r="X906" s="165"/>
      <c r="Y906" s="165"/>
      <c r="Z906" s="165"/>
      <c r="AA906" s="165"/>
      <c r="AB906" s="165"/>
      <c r="AC906" s="165"/>
      <c r="AD906" s="165"/>
      <c r="AE906" s="165"/>
      <c r="AF906" s="165"/>
      <c r="AG906" s="165"/>
      <c r="AH906" s="165"/>
      <c r="AI906" s="165"/>
    </row>
    <row r="907" spans="1:35" s="166" customFormat="1" ht="60">
      <c r="A907" s="856" t="s">
        <v>49</v>
      </c>
      <c r="B907" s="854">
        <v>563</v>
      </c>
      <c r="C907" s="857" t="s">
        <v>39</v>
      </c>
      <c r="D907" s="854">
        <v>4227</v>
      </c>
      <c r="E907" s="855" t="s">
        <v>93</v>
      </c>
      <c r="F907" s="853" t="s">
        <v>783</v>
      </c>
      <c r="G907" s="883"/>
      <c r="H907" s="879"/>
      <c r="I907" s="880"/>
      <c r="J907" s="165"/>
      <c r="K907" s="165"/>
      <c r="L907" s="165"/>
      <c r="M907" s="165"/>
      <c r="N907" s="165"/>
      <c r="O907" s="165"/>
      <c r="P907" s="165"/>
      <c r="Q907" s="165"/>
      <c r="R907" s="165"/>
      <c r="S907" s="165"/>
      <c r="T907" s="165"/>
      <c r="U907" s="165"/>
      <c r="V907" s="165"/>
      <c r="W907" s="165"/>
      <c r="X907" s="165"/>
      <c r="Y907" s="165"/>
      <c r="Z907" s="165"/>
      <c r="AA907" s="165"/>
      <c r="AB907" s="165"/>
      <c r="AC907" s="165"/>
      <c r="AD907" s="165"/>
      <c r="AE907" s="165"/>
      <c r="AF907" s="165"/>
      <c r="AG907" s="165"/>
      <c r="AH907" s="165"/>
      <c r="AI907" s="165"/>
    </row>
    <row r="908" spans="1:35" s="166" customFormat="1" ht="48">
      <c r="A908" s="856" t="s">
        <v>49</v>
      </c>
      <c r="B908" s="854">
        <v>563</v>
      </c>
      <c r="C908" s="857" t="s">
        <v>39</v>
      </c>
      <c r="D908" s="854">
        <v>4231</v>
      </c>
      <c r="E908" s="855" t="s">
        <v>98</v>
      </c>
      <c r="F908" s="853" t="s">
        <v>783</v>
      </c>
      <c r="G908" s="883"/>
      <c r="H908" s="879"/>
      <c r="I908" s="880"/>
      <c r="J908" s="165"/>
      <c r="K908" s="165"/>
      <c r="L908" s="165"/>
      <c r="M908" s="165"/>
      <c r="N908" s="165"/>
      <c r="O908" s="165"/>
      <c r="P908" s="165"/>
      <c r="Q908" s="165"/>
      <c r="R908" s="165"/>
      <c r="S908" s="165"/>
      <c r="T908" s="165"/>
      <c r="U908" s="165"/>
      <c r="V908" s="165"/>
      <c r="W908" s="165"/>
      <c r="X908" s="165"/>
      <c r="Y908" s="165"/>
      <c r="Z908" s="165"/>
      <c r="AA908" s="165"/>
      <c r="AB908" s="165"/>
      <c r="AC908" s="165"/>
      <c r="AD908" s="165"/>
      <c r="AE908" s="165"/>
      <c r="AF908" s="165"/>
      <c r="AG908" s="165"/>
      <c r="AH908" s="165"/>
      <c r="AI908" s="165"/>
    </row>
    <row r="909" spans="1:35" s="166" customFormat="1" ht="60">
      <c r="A909" s="856" t="s">
        <v>49</v>
      </c>
      <c r="B909" s="854">
        <v>563</v>
      </c>
      <c r="C909" s="857" t="s">
        <v>39</v>
      </c>
      <c r="D909" s="854">
        <v>4233</v>
      </c>
      <c r="E909" s="855" t="s">
        <v>759</v>
      </c>
      <c r="F909" s="853" t="s">
        <v>783</v>
      </c>
      <c r="G909" s="883"/>
      <c r="H909" s="879"/>
      <c r="I909" s="880"/>
      <c r="J909" s="165"/>
      <c r="K909" s="165"/>
      <c r="L909" s="165"/>
      <c r="M909" s="165"/>
      <c r="N909" s="165"/>
      <c r="O909" s="165"/>
      <c r="P909" s="165"/>
      <c r="Q909" s="165"/>
      <c r="R909" s="165"/>
      <c r="S909" s="165"/>
      <c r="T909" s="165"/>
      <c r="U909" s="165"/>
      <c r="V909" s="165"/>
      <c r="W909" s="165"/>
      <c r="X909" s="165"/>
      <c r="Y909" s="165"/>
      <c r="Z909" s="165"/>
      <c r="AA909" s="165"/>
      <c r="AB909" s="165"/>
      <c r="AC909" s="165"/>
      <c r="AD909" s="165"/>
      <c r="AE909" s="165"/>
      <c r="AF909" s="165"/>
      <c r="AG909" s="165"/>
      <c r="AH909" s="165"/>
      <c r="AI909" s="165"/>
    </row>
    <row r="910" spans="1:35" s="166" customFormat="1" ht="48">
      <c r="A910" s="856" t="s">
        <v>49</v>
      </c>
      <c r="B910" s="854">
        <v>563</v>
      </c>
      <c r="C910" s="857" t="s">
        <v>39</v>
      </c>
      <c r="D910" s="854">
        <v>4241</v>
      </c>
      <c r="E910" s="855" t="s">
        <v>74</v>
      </c>
      <c r="F910" s="853" t="s">
        <v>783</v>
      </c>
      <c r="G910" s="883"/>
      <c r="H910" s="879"/>
      <c r="I910" s="880"/>
      <c r="J910" s="165"/>
      <c r="K910" s="165"/>
      <c r="L910" s="165"/>
      <c r="M910" s="165"/>
      <c r="N910" s="165"/>
      <c r="O910" s="165"/>
      <c r="P910" s="165"/>
      <c r="Q910" s="165"/>
      <c r="R910" s="165"/>
      <c r="S910" s="165"/>
      <c r="T910" s="165"/>
      <c r="U910" s="165"/>
      <c r="V910" s="165"/>
      <c r="W910" s="165"/>
      <c r="X910" s="165"/>
      <c r="Y910" s="165"/>
      <c r="Z910" s="165"/>
      <c r="AA910" s="165"/>
      <c r="AB910" s="165"/>
      <c r="AC910" s="165"/>
      <c r="AD910" s="165"/>
      <c r="AE910" s="165"/>
      <c r="AF910" s="165"/>
      <c r="AG910" s="165"/>
      <c r="AH910" s="165"/>
      <c r="AI910" s="165"/>
    </row>
    <row r="911" spans="1:35" s="166" customFormat="1" ht="48">
      <c r="A911" s="856" t="s">
        <v>49</v>
      </c>
      <c r="B911" s="854">
        <v>563</v>
      </c>
      <c r="C911" s="857" t="s">
        <v>39</v>
      </c>
      <c r="D911" s="854">
        <v>4244</v>
      </c>
      <c r="E911" s="855" t="s">
        <v>760</v>
      </c>
      <c r="F911" s="853" t="s">
        <v>783</v>
      </c>
      <c r="G911" s="883"/>
      <c r="H911" s="879"/>
      <c r="I911" s="880"/>
      <c r="J911" s="165"/>
      <c r="K911" s="165"/>
      <c r="L911" s="165"/>
      <c r="M911" s="165"/>
      <c r="N911" s="165"/>
      <c r="O911" s="165"/>
      <c r="P911" s="165"/>
      <c r="Q911" s="165"/>
      <c r="R911" s="165"/>
      <c r="S911" s="165"/>
      <c r="T911" s="165"/>
      <c r="U911" s="165"/>
      <c r="V911" s="165"/>
      <c r="W911" s="165"/>
      <c r="X911" s="165"/>
      <c r="Y911" s="165"/>
      <c r="Z911" s="165"/>
      <c r="AA911" s="165"/>
      <c r="AB911" s="165"/>
      <c r="AC911" s="165"/>
      <c r="AD911" s="165"/>
      <c r="AE911" s="165"/>
      <c r="AF911" s="165"/>
      <c r="AG911" s="165"/>
      <c r="AH911" s="165"/>
      <c r="AI911" s="165"/>
    </row>
    <row r="912" spans="1:35" s="166" customFormat="1" ht="48">
      <c r="A912" s="856" t="s">
        <v>49</v>
      </c>
      <c r="B912" s="854">
        <v>563</v>
      </c>
      <c r="C912" s="857" t="s">
        <v>39</v>
      </c>
      <c r="D912" s="854">
        <v>4262</v>
      </c>
      <c r="E912" s="855" t="s">
        <v>86</v>
      </c>
      <c r="F912" s="853" t="s">
        <v>783</v>
      </c>
      <c r="G912" s="883"/>
      <c r="H912" s="879"/>
      <c r="I912" s="880"/>
      <c r="J912" s="165"/>
      <c r="K912" s="165"/>
      <c r="L912" s="165"/>
      <c r="M912" s="165"/>
      <c r="N912" s="165"/>
      <c r="O912" s="165"/>
      <c r="P912" s="165"/>
      <c r="Q912" s="165"/>
      <c r="R912" s="165"/>
      <c r="S912" s="165"/>
      <c r="T912" s="165"/>
      <c r="U912" s="165"/>
      <c r="V912" s="165"/>
      <c r="W912" s="165"/>
      <c r="X912" s="165"/>
      <c r="Y912" s="165"/>
      <c r="Z912" s="165"/>
      <c r="AA912" s="165"/>
      <c r="AB912" s="165"/>
      <c r="AC912" s="165"/>
      <c r="AD912" s="165"/>
      <c r="AE912" s="165"/>
      <c r="AF912" s="165"/>
      <c r="AG912" s="165"/>
      <c r="AH912" s="165"/>
      <c r="AI912" s="165"/>
    </row>
    <row r="913" spans="1:35" s="166" customFormat="1" ht="60">
      <c r="A913" s="856" t="s">
        <v>49</v>
      </c>
      <c r="B913" s="854">
        <v>563</v>
      </c>
      <c r="C913" s="857" t="s">
        <v>39</v>
      </c>
      <c r="D913" s="854">
        <v>4264</v>
      </c>
      <c r="E913" s="855" t="s">
        <v>761</v>
      </c>
      <c r="F913" s="853" t="s">
        <v>783</v>
      </c>
      <c r="G913" s="883"/>
      <c r="H913" s="879"/>
      <c r="I913" s="880"/>
      <c r="J913" s="165"/>
      <c r="K913" s="165"/>
      <c r="L913" s="165"/>
      <c r="M913" s="165"/>
      <c r="N913" s="165"/>
      <c r="O913" s="165"/>
      <c r="P913" s="165"/>
      <c r="Q913" s="165"/>
      <c r="R913" s="165"/>
      <c r="S913" s="165"/>
      <c r="T913" s="165"/>
      <c r="U913" s="165"/>
      <c r="V913" s="165"/>
      <c r="W913" s="165"/>
      <c r="X913" s="165"/>
      <c r="Y913" s="165"/>
      <c r="Z913" s="165"/>
      <c r="AA913" s="165"/>
      <c r="AB913" s="165"/>
      <c r="AC913" s="165"/>
      <c r="AD913" s="165"/>
      <c r="AE913" s="165"/>
      <c r="AF913" s="165"/>
      <c r="AG913" s="165"/>
      <c r="AH913" s="165"/>
      <c r="AI913" s="165"/>
    </row>
    <row r="914" spans="1:35" s="166" customFormat="1" ht="60">
      <c r="A914" s="856" t="s">
        <v>49</v>
      </c>
      <c r="B914" s="854">
        <v>563</v>
      </c>
      <c r="C914" s="857" t="s">
        <v>39</v>
      </c>
      <c r="D914" s="854">
        <v>4312</v>
      </c>
      <c r="E914" s="855" t="s">
        <v>684</v>
      </c>
      <c r="F914" s="853" t="s">
        <v>783</v>
      </c>
      <c r="G914" s="883"/>
      <c r="H914" s="879"/>
      <c r="I914" s="880"/>
      <c r="J914" s="165"/>
      <c r="K914" s="165"/>
      <c r="L914" s="165"/>
      <c r="M914" s="165"/>
      <c r="N914" s="165"/>
      <c r="O914" s="165"/>
      <c r="P914" s="165"/>
      <c r="Q914" s="165"/>
      <c r="R914" s="165"/>
      <c r="S914" s="165"/>
      <c r="T914" s="165"/>
      <c r="U914" s="165"/>
      <c r="V914" s="165"/>
      <c r="W914" s="165"/>
      <c r="X914" s="165"/>
      <c r="Y914" s="165"/>
      <c r="Z914" s="165"/>
      <c r="AA914" s="165"/>
      <c r="AB914" s="165"/>
      <c r="AC914" s="165"/>
      <c r="AD914" s="165"/>
      <c r="AE914" s="165"/>
      <c r="AF914" s="165"/>
      <c r="AG914" s="165"/>
      <c r="AH914" s="165"/>
      <c r="AI914" s="165"/>
    </row>
    <row r="915" spans="1:35" s="166" customFormat="1" ht="48">
      <c r="A915" s="856" t="s">
        <v>49</v>
      </c>
      <c r="B915" s="854">
        <v>563</v>
      </c>
      <c r="C915" s="857" t="s">
        <v>39</v>
      </c>
      <c r="D915" s="858">
        <v>4511</v>
      </c>
      <c r="E915" s="859" t="s">
        <v>91</v>
      </c>
      <c r="F915" s="853" t="s">
        <v>783</v>
      </c>
      <c r="G915" s="883"/>
      <c r="H915" s="879"/>
      <c r="I915" s="880"/>
      <c r="J915" s="165"/>
      <c r="K915" s="165"/>
      <c r="L915" s="165"/>
      <c r="M915" s="165"/>
      <c r="N915" s="165"/>
      <c r="O915" s="165"/>
      <c r="P915" s="165"/>
      <c r="Q915" s="165"/>
      <c r="R915" s="165"/>
      <c r="S915" s="165"/>
      <c r="T915" s="165"/>
      <c r="U915" s="165"/>
      <c r="V915" s="165"/>
      <c r="W915" s="165"/>
      <c r="X915" s="165"/>
      <c r="Y915" s="165"/>
      <c r="Z915" s="165"/>
      <c r="AA915" s="165"/>
      <c r="AB915" s="165"/>
      <c r="AC915" s="165"/>
      <c r="AD915" s="165"/>
      <c r="AE915" s="165"/>
      <c r="AF915" s="165"/>
      <c r="AG915" s="165"/>
      <c r="AH915" s="165"/>
      <c r="AI915" s="165"/>
    </row>
    <row r="916" spans="1:35" s="166" customFormat="1" ht="48.75" thickBot="1">
      <c r="A916" s="856" t="s">
        <v>49</v>
      </c>
      <c r="B916" s="858">
        <v>563</v>
      </c>
      <c r="C916" s="860" t="s">
        <v>39</v>
      </c>
      <c r="D916" s="858">
        <v>4521</v>
      </c>
      <c r="E916" s="859" t="s">
        <v>95</v>
      </c>
      <c r="F916" s="861" t="s">
        <v>783</v>
      </c>
      <c r="G916" s="883"/>
      <c r="H916" s="879"/>
      <c r="I916" s="880"/>
      <c r="J916" s="165"/>
      <c r="K916" s="165"/>
      <c r="L916" s="165"/>
      <c r="M916" s="165"/>
      <c r="N916" s="165"/>
      <c r="O916" s="165"/>
      <c r="P916" s="165"/>
      <c r="Q916" s="165"/>
      <c r="R916" s="165"/>
      <c r="S916" s="165"/>
      <c r="T916" s="165"/>
      <c r="U916" s="165"/>
      <c r="V916" s="165"/>
      <c r="W916" s="165"/>
      <c r="X916" s="165"/>
      <c r="Y916" s="165"/>
      <c r="Z916" s="165"/>
      <c r="AA916" s="165"/>
      <c r="AB916" s="165"/>
      <c r="AC916" s="165"/>
      <c r="AD916" s="165"/>
      <c r="AE916" s="165"/>
      <c r="AF916" s="165"/>
      <c r="AG916" s="165"/>
      <c r="AH916" s="165"/>
      <c r="AI916" s="165"/>
    </row>
    <row r="917" spans="1:35" s="166" customFormat="1" ht="36.75" thickBot="1">
      <c r="A917" s="167" t="s">
        <v>49</v>
      </c>
      <c r="B917" s="158">
        <v>563</v>
      </c>
      <c r="C917" s="256" t="s">
        <v>39</v>
      </c>
      <c r="D917" s="158"/>
      <c r="E917" s="229" t="s">
        <v>742</v>
      </c>
      <c r="F917" s="363" t="s">
        <v>783</v>
      </c>
      <c r="G917" s="894">
        <f>SUM(G849:G916)</f>
        <v>0</v>
      </c>
      <c r="H917" s="894">
        <f t="shared" ref="H917:I917" si="17">SUM(H849:H916)</f>
        <v>0</v>
      </c>
      <c r="I917" s="894">
        <f t="shared" si="17"/>
        <v>0</v>
      </c>
      <c r="J917" s="165"/>
      <c r="K917" s="165"/>
      <c r="L917" s="165"/>
      <c r="M917" s="165"/>
      <c r="N917" s="165"/>
      <c r="O917" s="165"/>
      <c r="P917" s="165"/>
      <c r="Q917" s="165"/>
      <c r="R917" s="165"/>
      <c r="S917" s="165"/>
      <c r="T917" s="165"/>
      <c r="U917" s="165"/>
      <c r="V917" s="165"/>
      <c r="W917" s="165"/>
      <c r="X917" s="165"/>
      <c r="Y917" s="165"/>
      <c r="Z917" s="165"/>
      <c r="AA917" s="165"/>
      <c r="AB917" s="165"/>
      <c r="AC917" s="165"/>
      <c r="AD917" s="165"/>
      <c r="AE917" s="165"/>
      <c r="AF917" s="165"/>
      <c r="AG917" s="165"/>
      <c r="AH917" s="165"/>
      <c r="AI917" s="165"/>
    </row>
    <row r="918" spans="1:35" ht="36.75" thickBot="1">
      <c r="A918" s="173" t="s">
        <v>49</v>
      </c>
      <c r="B918" s="174">
        <v>563</v>
      </c>
      <c r="C918" s="261" t="s">
        <v>39</v>
      </c>
      <c r="D918" s="174"/>
      <c r="E918" s="241" t="s">
        <v>742</v>
      </c>
      <c r="F918" s="175" t="s">
        <v>689</v>
      </c>
      <c r="G918" s="878">
        <f>G848+G779+G917</f>
        <v>0</v>
      </c>
      <c r="H918" s="878">
        <f>H848+H779+H917</f>
        <v>0</v>
      </c>
      <c r="I918" s="896">
        <f>I848+I779+I917</f>
        <v>0</v>
      </c>
      <c r="J918" s="149"/>
      <c r="K918" s="149"/>
      <c r="L918" s="149"/>
      <c r="M918" s="149"/>
      <c r="N918" s="149"/>
      <c r="O918" s="149"/>
      <c r="P918" s="149"/>
      <c r="Q918" s="149"/>
      <c r="R918" s="149"/>
      <c r="S918" s="149"/>
      <c r="T918" s="149"/>
      <c r="U918" s="149"/>
      <c r="V918" s="149"/>
      <c r="W918" s="149"/>
      <c r="X918" s="149"/>
      <c r="Y918" s="149"/>
      <c r="Z918" s="149"/>
      <c r="AA918" s="149"/>
      <c r="AB918" s="149"/>
      <c r="AC918" s="149"/>
      <c r="AD918" s="149"/>
      <c r="AE918" s="149"/>
      <c r="AF918" s="149"/>
      <c r="AG918" s="149"/>
      <c r="AH918" s="149"/>
      <c r="AI918" s="149"/>
    </row>
    <row r="919" spans="1:35" s="166" customFormat="1" ht="12.75" thickBot="1">
      <c r="A919" s="176" t="s">
        <v>49</v>
      </c>
      <c r="B919" s="177"/>
      <c r="C919" s="262"/>
      <c r="D919" s="177"/>
      <c r="E919" s="242" t="s">
        <v>688</v>
      </c>
      <c r="F919" s="178"/>
      <c r="G919" s="897">
        <f>G85+G153+G291+G371+G511+G550+G559+G704+G773+G918+G554</f>
        <v>51947457</v>
      </c>
      <c r="H919" s="897">
        <f>H85+H153+H291+H371+H511+H550+H559+H704+H773+H918+H554</f>
        <v>52448841.359999992</v>
      </c>
      <c r="I919" s="898">
        <f>I85+I153+I291+I371+I511+I550+I559+I704+I773+I918+I554</f>
        <v>58870757</v>
      </c>
      <c r="J919" s="165"/>
      <c r="K919" s="165"/>
      <c r="L919" s="165"/>
      <c r="M919" s="165"/>
      <c r="N919" s="165"/>
      <c r="O919" s="165"/>
      <c r="P919" s="165"/>
      <c r="Q919" s="165"/>
      <c r="R919" s="165"/>
      <c r="S919" s="165"/>
      <c r="T919" s="165"/>
      <c r="U919" s="165"/>
      <c r="V919" s="165"/>
      <c r="W919" s="165"/>
      <c r="X919" s="165"/>
      <c r="Y919" s="165"/>
      <c r="Z919" s="165"/>
      <c r="AA919" s="165"/>
      <c r="AB919" s="165"/>
      <c r="AC919" s="165"/>
      <c r="AD919" s="165"/>
      <c r="AE919" s="165"/>
      <c r="AF919" s="165"/>
      <c r="AG919" s="165"/>
      <c r="AH919" s="165"/>
      <c r="AI919" s="165"/>
    </row>
    <row r="920" spans="1:35" s="166" customFormat="1" ht="12.75" thickBot="1">
      <c r="A920" s="267"/>
      <c r="B920" s="268"/>
      <c r="C920" s="269"/>
      <c r="D920" s="268"/>
      <c r="E920" s="270"/>
      <c r="F920" s="271"/>
      <c r="G920" s="899"/>
      <c r="H920" s="899"/>
      <c r="I920" s="900"/>
      <c r="J920" s="165"/>
      <c r="K920" s="165"/>
      <c r="L920" s="165"/>
      <c r="M920" s="165"/>
      <c r="N920" s="165"/>
      <c r="O920" s="165"/>
      <c r="P920" s="165"/>
      <c r="Q920" s="165"/>
      <c r="R920" s="165"/>
      <c r="S920" s="165"/>
      <c r="T920" s="165"/>
      <c r="U920" s="165"/>
      <c r="V920" s="165"/>
      <c r="W920" s="165"/>
      <c r="X920" s="165"/>
      <c r="Y920" s="165"/>
      <c r="Z920" s="165"/>
      <c r="AA920" s="165"/>
      <c r="AB920" s="165"/>
      <c r="AC920" s="165"/>
      <c r="AD920" s="165"/>
      <c r="AE920" s="165"/>
      <c r="AF920" s="165"/>
      <c r="AG920" s="165"/>
      <c r="AH920" s="165"/>
      <c r="AI920" s="165"/>
    </row>
    <row r="921" spans="1:35" ht="38.25" customHeight="1" thickBot="1">
      <c r="A921" s="141" t="s">
        <v>703</v>
      </c>
      <c r="B921" s="142" t="s">
        <v>704</v>
      </c>
      <c r="C921" s="252" t="s">
        <v>202</v>
      </c>
      <c r="D921" s="142" t="s">
        <v>100</v>
      </c>
      <c r="E921" s="225" t="s">
        <v>705</v>
      </c>
      <c r="F921" s="335" t="s">
        <v>706</v>
      </c>
      <c r="G921" s="901" t="s">
        <v>804</v>
      </c>
      <c r="H921" s="902" t="s">
        <v>821</v>
      </c>
      <c r="I921" s="903" t="s">
        <v>822</v>
      </c>
      <c r="J921" s="149"/>
      <c r="K921" s="149"/>
      <c r="L921" s="149"/>
      <c r="M921" s="149"/>
      <c r="N921" s="149"/>
      <c r="O921" s="149"/>
      <c r="P921" s="149"/>
      <c r="Q921" s="149"/>
      <c r="R921" s="149"/>
      <c r="S921" s="149"/>
      <c r="T921" s="149"/>
      <c r="U921" s="149"/>
      <c r="V921" s="149"/>
      <c r="W921" s="149"/>
      <c r="X921" s="149"/>
      <c r="Y921" s="149"/>
      <c r="Z921" s="149"/>
      <c r="AA921" s="149"/>
      <c r="AB921" s="149"/>
      <c r="AC921" s="149"/>
      <c r="AD921" s="149"/>
      <c r="AE921" s="149"/>
      <c r="AF921" s="149"/>
      <c r="AG921" s="149"/>
      <c r="AH921" s="149"/>
      <c r="AI921" s="149"/>
    </row>
    <row r="922" spans="1:35" ht="96.75" thickBot="1">
      <c r="A922" s="173" t="s">
        <v>16</v>
      </c>
      <c r="B922" s="174">
        <v>11</v>
      </c>
      <c r="C922" s="261" t="s">
        <v>19</v>
      </c>
      <c r="D922" s="174" t="s">
        <v>691</v>
      </c>
      <c r="E922" s="241" t="s">
        <v>20</v>
      </c>
      <c r="F922" s="217"/>
      <c r="G922" s="904">
        <v>44408714</v>
      </c>
      <c r="H922" s="905">
        <v>38695368</v>
      </c>
      <c r="I922" s="906">
        <v>48160000</v>
      </c>
      <c r="J922" s="149"/>
      <c r="K922" s="149"/>
      <c r="L922" s="149"/>
      <c r="M922" s="149"/>
      <c r="N922" s="149"/>
      <c r="O922" s="149"/>
      <c r="P922" s="149"/>
      <c r="Q922" s="149"/>
      <c r="R922" s="149"/>
      <c r="S922" s="149"/>
      <c r="T922" s="149"/>
      <c r="U922" s="149"/>
      <c r="V922" s="149"/>
      <c r="W922" s="149"/>
      <c r="X922" s="149"/>
      <c r="Y922" s="149"/>
      <c r="Z922" s="149"/>
      <c r="AA922" s="149"/>
      <c r="AB922" s="149"/>
      <c r="AC922" s="149"/>
      <c r="AD922" s="149"/>
      <c r="AE922" s="149"/>
      <c r="AF922" s="149"/>
      <c r="AG922" s="149"/>
      <c r="AH922" s="149"/>
      <c r="AI922" s="149"/>
    </row>
    <row r="923" spans="1:35" s="161" customFormat="1" ht="96.75" thickBot="1">
      <c r="A923" s="162" t="s">
        <v>16</v>
      </c>
      <c r="B923" s="163">
        <v>12</v>
      </c>
      <c r="C923" s="243" t="s">
        <v>21</v>
      </c>
      <c r="D923" s="163" t="s">
        <v>698</v>
      </c>
      <c r="E923" s="230" t="s">
        <v>20</v>
      </c>
      <c r="F923" s="218"/>
      <c r="G923" s="907"/>
      <c r="H923" s="884"/>
      <c r="I923" s="890"/>
      <c r="J923" s="160"/>
      <c r="K923" s="160"/>
      <c r="L923" s="160"/>
      <c r="M923" s="160"/>
      <c r="N923" s="160"/>
      <c r="O923" s="160"/>
      <c r="P923" s="160"/>
      <c r="Q923" s="160"/>
      <c r="R923" s="160"/>
      <c r="S923" s="160"/>
      <c r="T923" s="160"/>
      <c r="U923" s="160"/>
      <c r="V923" s="160"/>
      <c r="W923" s="160"/>
      <c r="X923" s="160"/>
      <c r="Y923" s="160"/>
      <c r="Z923" s="160"/>
      <c r="AA923" s="160"/>
      <c r="AB923" s="160"/>
      <c r="AC923" s="160"/>
      <c r="AD923" s="160"/>
      <c r="AE923" s="160"/>
      <c r="AF923" s="160"/>
      <c r="AG923" s="160"/>
      <c r="AH923" s="160"/>
      <c r="AI923" s="160"/>
    </row>
    <row r="924" spans="1:35" ht="48">
      <c r="A924" s="146" t="s">
        <v>16</v>
      </c>
      <c r="B924" s="147">
        <v>31</v>
      </c>
      <c r="C924" s="253" t="s">
        <v>22</v>
      </c>
      <c r="D924" s="147">
        <v>641310031</v>
      </c>
      <c r="E924" s="226" t="s">
        <v>23</v>
      </c>
      <c r="F924" s="202"/>
      <c r="G924" s="883"/>
      <c r="H924" s="879"/>
      <c r="I924" s="880"/>
      <c r="J924" s="149"/>
      <c r="K924" s="149"/>
      <c r="L924" s="149"/>
      <c r="M924" s="149"/>
      <c r="N924" s="149"/>
      <c r="O924" s="149"/>
      <c r="P924" s="149"/>
      <c r="Q924" s="149"/>
      <c r="R924" s="149"/>
      <c r="S924" s="149"/>
      <c r="T924" s="149"/>
      <c r="U924" s="149"/>
      <c r="V924" s="149"/>
      <c r="W924" s="149"/>
      <c r="X924" s="149"/>
      <c r="Y924" s="149"/>
      <c r="Z924" s="149"/>
      <c r="AA924" s="149"/>
      <c r="AB924" s="149"/>
      <c r="AC924" s="149"/>
      <c r="AD924" s="149"/>
      <c r="AE924" s="149"/>
      <c r="AF924" s="149"/>
      <c r="AG924" s="149"/>
      <c r="AH924" s="149"/>
      <c r="AI924" s="149"/>
    </row>
    <row r="925" spans="1:35" ht="48">
      <c r="A925" s="146" t="s">
        <v>16</v>
      </c>
      <c r="B925" s="147">
        <v>31</v>
      </c>
      <c r="C925" s="253" t="s">
        <v>22</v>
      </c>
      <c r="D925" s="147">
        <v>641320031</v>
      </c>
      <c r="E925" s="226" t="s">
        <v>24</v>
      </c>
      <c r="F925" s="202"/>
      <c r="G925" s="883"/>
      <c r="H925" s="879">
        <v>45</v>
      </c>
      <c r="I925" s="880">
        <v>45</v>
      </c>
      <c r="J925" s="149"/>
      <c r="K925" s="149"/>
      <c r="L925" s="149"/>
      <c r="M925" s="149"/>
      <c r="N925" s="149"/>
      <c r="O925" s="149"/>
      <c r="P925" s="149"/>
      <c r="Q925" s="149"/>
      <c r="R925" s="149"/>
      <c r="S925" s="149"/>
      <c r="T925" s="149"/>
      <c r="U925" s="149"/>
      <c r="V925" s="149"/>
      <c r="W925" s="149"/>
      <c r="X925" s="149"/>
      <c r="Y925" s="149"/>
      <c r="Z925" s="149"/>
      <c r="AA925" s="149"/>
      <c r="AB925" s="149"/>
      <c r="AC925" s="149"/>
      <c r="AD925" s="149"/>
      <c r="AE925" s="149"/>
      <c r="AF925" s="149"/>
      <c r="AG925" s="149"/>
      <c r="AH925" s="149"/>
      <c r="AI925" s="149"/>
    </row>
    <row r="926" spans="1:35" ht="48">
      <c r="A926" s="150" t="s">
        <v>16</v>
      </c>
      <c r="B926" s="151">
        <v>31</v>
      </c>
      <c r="C926" s="254" t="s">
        <v>22</v>
      </c>
      <c r="D926" s="151">
        <v>6415</v>
      </c>
      <c r="E926" s="227" t="s">
        <v>717</v>
      </c>
      <c r="F926" s="219"/>
      <c r="G926" s="883"/>
      <c r="H926" s="879">
        <v>94</v>
      </c>
      <c r="I926" s="880">
        <v>100</v>
      </c>
      <c r="J926" s="149"/>
      <c r="K926" s="149"/>
      <c r="L926" s="149"/>
      <c r="M926" s="149"/>
      <c r="N926" s="149"/>
      <c r="O926" s="149"/>
      <c r="P926" s="149"/>
      <c r="Q926" s="149"/>
      <c r="R926" s="149"/>
      <c r="S926" s="149"/>
      <c r="T926" s="149"/>
      <c r="U926" s="149"/>
      <c r="V926" s="149"/>
      <c r="W926" s="149"/>
      <c r="X926" s="149"/>
      <c r="Y926" s="149"/>
      <c r="Z926" s="149"/>
      <c r="AA926" s="149"/>
      <c r="AB926" s="149"/>
      <c r="AC926" s="149"/>
      <c r="AD926" s="149"/>
      <c r="AE926" s="149"/>
      <c r="AF926" s="149"/>
      <c r="AG926" s="149"/>
      <c r="AH926" s="149"/>
      <c r="AI926" s="149"/>
    </row>
    <row r="927" spans="1:35" ht="48">
      <c r="A927" s="150" t="s">
        <v>16</v>
      </c>
      <c r="B927" s="151">
        <v>31</v>
      </c>
      <c r="C927" s="254" t="s">
        <v>22</v>
      </c>
      <c r="D927" s="151">
        <v>6614</v>
      </c>
      <c r="E927" s="227" t="s">
        <v>25</v>
      </c>
      <c r="F927" s="219"/>
      <c r="G927" s="503">
        <v>7500</v>
      </c>
      <c r="H927" s="879">
        <v>12791</v>
      </c>
      <c r="I927" s="880">
        <v>16000</v>
      </c>
      <c r="J927" s="149"/>
      <c r="K927" s="149"/>
      <c r="L927" s="149"/>
      <c r="M927" s="149"/>
      <c r="N927" s="149"/>
      <c r="O927" s="149"/>
      <c r="P927" s="149"/>
      <c r="Q927" s="149"/>
      <c r="R927" s="149"/>
      <c r="S927" s="149"/>
      <c r="T927" s="149"/>
      <c r="U927" s="149"/>
      <c r="V927" s="149"/>
      <c r="W927" s="149"/>
      <c r="X927" s="149"/>
      <c r="Y927" s="149"/>
      <c r="Z927" s="149"/>
      <c r="AA927" s="149"/>
      <c r="AB927" s="149"/>
      <c r="AC927" s="149"/>
      <c r="AD927" s="149"/>
      <c r="AE927" s="149"/>
      <c r="AF927" s="149"/>
      <c r="AG927" s="149"/>
      <c r="AH927" s="149"/>
      <c r="AI927" s="149"/>
    </row>
    <row r="928" spans="1:35" ht="36">
      <c r="A928" s="150" t="s">
        <v>16</v>
      </c>
      <c r="B928" s="151">
        <v>31</v>
      </c>
      <c r="C928" s="254" t="s">
        <v>22</v>
      </c>
      <c r="D928" s="151">
        <v>6615</v>
      </c>
      <c r="E928" s="227" t="s">
        <v>26</v>
      </c>
      <c r="F928" s="219"/>
      <c r="G928" s="503">
        <v>5150000</v>
      </c>
      <c r="H928" s="879">
        <v>4693458</v>
      </c>
      <c r="I928" s="880">
        <v>5375000</v>
      </c>
      <c r="J928" s="149"/>
      <c r="K928" s="149"/>
      <c r="L928" s="149"/>
      <c r="M928" s="149"/>
      <c r="N928" s="149"/>
      <c r="O928" s="149"/>
      <c r="P928" s="149"/>
      <c r="Q928" s="149"/>
      <c r="R928" s="149"/>
      <c r="S928" s="149"/>
      <c r="T928" s="149"/>
      <c r="U928" s="149"/>
      <c r="V928" s="149"/>
      <c r="W928" s="149"/>
      <c r="X928" s="149"/>
      <c r="Y928" s="149"/>
      <c r="Z928" s="149"/>
      <c r="AA928" s="149"/>
      <c r="AB928" s="149"/>
      <c r="AC928" s="149"/>
      <c r="AD928" s="149"/>
      <c r="AE928" s="149"/>
      <c r="AF928" s="149"/>
      <c r="AG928" s="149"/>
      <c r="AH928" s="149"/>
      <c r="AI928" s="149"/>
    </row>
    <row r="929" spans="1:35" ht="24.75" thickBot="1">
      <c r="A929" s="154" t="s">
        <v>16</v>
      </c>
      <c r="B929" s="155">
        <v>31</v>
      </c>
      <c r="C929" s="255" t="s">
        <v>22</v>
      </c>
      <c r="D929" s="155">
        <v>6831</v>
      </c>
      <c r="E929" s="228" t="s">
        <v>142</v>
      </c>
      <c r="F929" s="220"/>
      <c r="G929" s="883"/>
      <c r="H929" s="879"/>
      <c r="I929" s="880"/>
      <c r="J929" s="149"/>
      <c r="K929" s="149"/>
      <c r="L929" s="149"/>
      <c r="M929" s="149"/>
      <c r="N929" s="149"/>
      <c r="O929" s="149"/>
      <c r="P929" s="149"/>
      <c r="Q929" s="149"/>
      <c r="R929" s="149"/>
      <c r="S929" s="149"/>
      <c r="T929" s="149"/>
      <c r="U929" s="149"/>
      <c r="V929" s="149"/>
      <c r="W929" s="149"/>
      <c r="X929" s="149"/>
      <c r="Y929" s="149"/>
      <c r="Z929" s="149"/>
      <c r="AA929" s="149"/>
      <c r="AB929" s="149"/>
      <c r="AC929" s="149"/>
      <c r="AD929" s="149"/>
      <c r="AE929" s="149"/>
      <c r="AF929" s="149"/>
      <c r="AG929" s="149"/>
      <c r="AH929" s="149"/>
      <c r="AI929" s="149"/>
    </row>
    <row r="930" spans="1:35" ht="24.75" thickBot="1">
      <c r="A930" s="162" t="s">
        <v>16</v>
      </c>
      <c r="B930" s="163">
        <v>31</v>
      </c>
      <c r="C930" s="243" t="s">
        <v>22</v>
      </c>
      <c r="D930" s="163"/>
      <c r="E930" s="230" t="s">
        <v>692</v>
      </c>
      <c r="F930" s="218"/>
      <c r="G930" s="907">
        <f>SUM(G924:G929)</f>
        <v>5157500</v>
      </c>
      <c r="H930" s="884">
        <f t="shared" ref="H930:I930" si="18">SUM(H924:H929)</f>
        <v>4706388</v>
      </c>
      <c r="I930" s="890">
        <f t="shared" si="18"/>
        <v>5391145</v>
      </c>
      <c r="J930" s="149"/>
      <c r="K930" s="149"/>
      <c r="L930" s="149"/>
      <c r="M930" s="149"/>
      <c r="N930" s="149"/>
      <c r="O930" s="149"/>
      <c r="P930" s="149"/>
      <c r="Q930" s="149"/>
      <c r="R930" s="149"/>
      <c r="S930" s="149"/>
      <c r="T930" s="149"/>
      <c r="U930" s="149"/>
      <c r="V930" s="149"/>
      <c r="W930" s="149"/>
      <c r="X930" s="149"/>
      <c r="Y930" s="149"/>
      <c r="Z930" s="149"/>
      <c r="AA930" s="149"/>
      <c r="AB930" s="149"/>
      <c r="AC930" s="149"/>
      <c r="AD930" s="149"/>
      <c r="AE930" s="149"/>
      <c r="AF930" s="149"/>
      <c r="AG930" s="149"/>
      <c r="AH930" s="149"/>
      <c r="AI930" s="149"/>
    </row>
    <row r="931" spans="1:35" ht="48">
      <c r="A931" s="146" t="s">
        <v>16</v>
      </c>
      <c r="B931" s="147">
        <v>43</v>
      </c>
      <c r="C931" s="253" t="s">
        <v>27</v>
      </c>
      <c r="D931" s="147">
        <v>641310031</v>
      </c>
      <c r="E931" s="226" t="s">
        <v>764</v>
      </c>
      <c r="F931" s="202"/>
      <c r="G931" s="883"/>
      <c r="H931" s="879"/>
      <c r="I931" s="880"/>
      <c r="J931" s="149"/>
      <c r="K931" s="149"/>
      <c r="L931" s="149"/>
      <c r="M931" s="149"/>
      <c r="N931" s="149"/>
      <c r="O931" s="149"/>
      <c r="P931" s="149"/>
      <c r="Q931" s="149"/>
      <c r="R931" s="149"/>
      <c r="S931" s="149"/>
      <c r="T931" s="149"/>
      <c r="U931" s="149"/>
      <c r="V931" s="149"/>
      <c r="W931" s="149"/>
      <c r="X931" s="149"/>
      <c r="Y931" s="149"/>
      <c r="Z931" s="149"/>
      <c r="AA931" s="149"/>
      <c r="AB931" s="149"/>
      <c r="AC931" s="149"/>
      <c r="AD931" s="149"/>
      <c r="AE931" s="149"/>
      <c r="AF931" s="149"/>
      <c r="AG931" s="149"/>
      <c r="AH931" s="149"/>
      <c r="AI931" s="149"/>
    </row>
    <row r="932" spans="1:35" ht="48">
      <c r="A932" s="146" t="s">
        <v>16</v>
      </c>
      <c r="B932" s="147">
        <v>43</v>
      </c>
      <c r="C932" s="253" t="s">
        <v>27</v>
      </c>
      <c r="D932" s="147">
        <v>641320031</v>
      </c>
      <c r="E932" s="226" t="s">
        <v>765</v>
      </c>
      <c r="F932" s="202"/>
      <c r="G932" s="883"/>
      <c r="H932" s="879"/>
      <c r="I932" s="880"/>
      <c r="J932" s="149"/>
      <c r="K932" s="149"/>
      <c r="L932" s="149"/>
      <c r="M932" s="149"/>
      <c r="N932" s="149"/>
      <c r="O932" s="149"/>
      <c r="P932" s="149"/>
      <c r="Q932" s="149"/>
      <c r="R932" s="149"/>
      <c r="S932" s="149"/>
      <c r="T932" s="149"/>
      <c r="U932" s="149"/>
      <c r="V932" s="149"/>
      <c r="W932" s="149"/>
      <c r="X932" s="149"/>
      <c r="Y932" s="149"/>
      <c r="Z932" s="149"/>
      <c r="AA932" s="149"/>
      <c r="AB932" s="149"/>
      <c r="AC932" s="149"/>
      <c r="AD932" s="149"/>
      <c r="AE932" s="149"/>
      <c r="AF932" s="149"/>
      <c r="AG932" s="149"/>
      <c r="AH932" s="149"/>
      <c r="AI932" s="149"/>
    </row>
    <row r="933" spans="1:35" ht="60">
      <c r="A933" s="146" t="s">
        <v>16</v>
      </c>
      <c r="B933" s="147">
        <v>43</v>
      </c>
      <c r="C933" s="253" t="s">
        <v>27</v>
      </c>
      <c r="D933" s="147">
        <v>65264</v>
      </c>
      <c r="E933" s="226" t="s">
        <v>28</v>
      </c>
      <c r="F933" s="202"/>
      <c r="G933" s="503">
        <v>1710000</v>
      </c>
      <c r="H933" s="879">
        <v>1571925</v>
      </c>
      <c r="I933" s="880">
        <v>1800000</v>
      </c>
      <c r="J933" s="149"/>
      <c r="K933" s="149"/>
      <c r="L933" s="149"/>
      <c r="M933" s="149"/>
      <c r="N933" s="149"/>
      <c r="O933" s="149"/>
      <c r="P933" s="149"/>
      <c r="Q933" s="149"/>
      <c r="R933" s="149"/>
      <c r="S933" s="149"/>
      <c r="T933" s="149"/>
      <c r="U933" s="149"/>
      <c r="V933" s="149"/>
      <c r="W933" s="149"/>
      <c r="X933" s="149"/>
      <c r="Y933" s="149"/>
      <c r="Z933" s="149"/>
      <c r="AA933" s="149"/>
      <c r="AB933" s="149"/>
      <c r="AC933" s="149"/>
      <c r="AD933" s="149"/>
      <c r="AE933" s="149"/>
      <c r="AF933" s="149"/>
      <c r="AG933" s="149"/>
      <c r="AH933" s="149"/>
      <c r="AI933" s="149"/>
    </row>
    <row r="934" spans="1:35" ht="72">
      <c r="A934" s="146" t="s">
        <v>16</v>
      </c>
      <c r="B934" s="147">
        <v>43</v>
      </c>
      <c r="C934" s="253" t="s">
        <v>27</v>
      </c>
      <c r="D934" s="147">
        <v>65266</v>
      </c>
      <c r="E934" s="226" t="s">
        <v>762</v>
      </c>
      <c r="F934" s="202"/>
      <c r="G934" s="503"/>
      <c r="H934" s="879"/>
      <c r="I934" s="880"/>
      <c r="J934" s="149"/>
      <c r="K934" s="149"/>
      <c r="L934" s="149"/>
      <c r="M934" s="149"/>
      <c r="N934" s="149"/>
      <c r="O934" s="149"/>
      <c r="P934" s="149"/>
      <c r="Q934" s="149"/>
      <c r="R934" s="149"/>
      <c r="S934" s="149"/>
      <c r="T934" s="149"/>
      <c r="U934" s="149"/>
      <c r="V934" s="149"/>
      <c r="W934" s="149"/>
      <c r="X934" s="149"/>
      <c r="Y934" s="149"/>
      <c r="Z934" s="149"/>
      <c r="AA934" s="149"/>
      <c r="AB934" s="149"/>
      <c r="AC934" s="149"/>
      <c r="AD934" s="149"/>
      <c r="AE934" s="149"/>
      <c r="AF934" s="149"/>
      <c r="AG934" s="149"/>
      <c r="AH934" s="149"/>
      <c r="AI934" s="149"/>
    </row>
    <row r="935" spans="1:35" ht="48">
      <c r="A935" s="150" t="s">
        <v>16</v>
      </c>
      <c r="B935" s="151">
        <v>43</v>
      </c>
      <c r="C935" s="254" t="s">
        <v>27</v>
      </c>
      <c r="D935" s="151">
        <v>65267</v>
      </c>
      <c r="E935" s="227" t="s">
        <v>712</v>
      </c>
      <c r="F935" s="219"/>
      <c r="G935" s="883"/>
      <c r="H935" s="879"/>
      <c r="I935" s="880"/>
      <c r="J935" s="149"/>
      <c r="K935" s="149"/>
      <c r="L935" s="149"/>
      <c r="M935" s="149"/>
      <c r="N935" s="149"/>
      <c r="O935" s="149"/>
      <c r="P935" s="149"/>
      <c r="Q935" s="149"/>
      <c r="R935" s="149"/>
      <c r="S935" s="149"/>
      <c r="T935" s="149"/>
      <c r="U935" s="149"/>
      <c r="V935" s="149"/>
      <c r="W935" s="149"/>
      <c r="X935" s="149"/>
      <c r="Y935" s="149"/>
      <c r="Z935" s="149"/>
      <c r="AA935" s="149"/>
      <c r="AB935" s="149"/>
      <c r="AC935" s="149"/>
      <c r="AD935" s="149"/>
      <c r="AE935" s="149"/>
      <c r="AF935" s="149"/>
      <c r="AG935" s="149"/>
      <c r="AH935" s="149"/>
      <c r="AI935" s="149"/>
    </row>
    <row r="936" spans="1:35" ht="48">
      <c r="A936" s="150" t="s">
        <v>16</v>
      </c>
      <c r="B936" s="151">
        <v>43</v>
      </c>
      <c r="C936" s="254" t="s">
        <v>27</v>
      </c>
      <c r="D936" s="151">
        <v>65268</v>
      </c>
      <c r="E936" s="227" t="s">
        <v>27</v>
      </c>
      <c r="F936" s="219"/>
      <c r="G936" s="503">
        <f>1117000-324948</f>
        <v>792052</v>
      </c>
      <c r="H936" s="879">
        <v>29000</v>
      </c>
      <c r="I936" s="880">
        <v>50000</v>
      </c>
      <c r="J936" s="149"/>
      <c r="K936" s="136"/>
      <c r="L936" s="137"/>
      <c r="M936" s="137"/>
      <c r="N936" s="137"/>
      <c r="O936" s="149"/>
      <c r="P936" s="149"/>
      <c r="Q936" s="149"/>
      <c r="R936" s="149"/>
      <c r="S936" s="149"/>
      <c r="T936" s="149"/>
      <c r="U936" s="149"/>
      <c r="V936" s="149"/>
      <c r="W936" s="149"/>
      <c r="X936" s="149"/>
      <c r="Y936" s="149"/>
      <c r="Z936" s="149"/>
      <c r="AA936" s="149"/>
      <c r="AB936" s="149"/>
      <c r="AC936" s="149"/>
      <c r="AD936" s="149"/>
      <c r="AE936" s="149"/>
      <c r="AF936" s="149"/>
      <c r="AG936" s="149"/>
      <c r="AH936" s="149"/>
      <c r="AI936" s="149"/>
    </row>
    <row r="937" spans="1:35" ht="60">
      <c r="A937" s="150" t="s">
        <v>16</v>
      </c>
      <c r="B937" s="151">
        <v>43</v>
      </c>
      <c r="C937" s="254" t="s">
        <v>27</v>
      </c>
      <c r="D937" s="151">
        <v>65269</v>
      </c>
      <c r="E937" s="227" t="s">
        <v>763</v>
      </c>
      <c r="F937" s="219"/>
      <c r="G937" s="883"/>
      <c r="H937" s="879"/>
      <c r="I937" s="880"/>
      <c r="J937" s="149"/>
      <c r="K937" s="149"/>
      <c r="L937" s="149"/>
      <c r="M937" s="149"/>
      <c r="N937" s="149"/>
      <c r="O937" s="149"/>
      <c r="P937" s="149"/>
      <c r="Q937" s="149"/>
      <c r="R937" s="149"/>
      <c r="S937" s="149"/>
      <c r="T937" s="149"/>
      <c r="U937" s="149"/>
      <c r="V937" s="149"/>
      <c r="W937" s="149"/>
      <c r="X937" s="149"/>
      <c r="Y937" s="149"/>
      <c r="Z937" s="149"/>
      <c r="AA937" s="149"/>
      <c r="AB937" s="149"/>
      <c r="AC937" s="149"/>
      <c r="AD937" s="149"/>
      <c r="AE937" s="149"/>
      <c r="AF937" s="149"/>
      <c r="AG937" s="149"/>
      <c r="AH937" s="149"/>
      <c r="AI937" s="149"/>
    </row>
    <row r="938" spans="1:35" ht="48.75" thickBot="1">
      <c r="A938" s="154" t="s">
        <v>16</v>
      </c>
      <c r="B938" s="155">
        <v>43</v>
      </c>
      <c r="C938" s="255" t="s">
        <v>27</v>
      </c>
      <c r="D938" s="155">
        <v>683110043</v>
      </c>
      <c r="E938" s="228" t="s">
        <v>29</v>
      </c>
      <c r="F938" s="220"/>
      <c r="G938" s="883"/>
      <c r="H938" s="879">
        <v>5499.77</v>
      </c>
      <c r="I938" s="880">
        <v>6000</v>
      </c>
      <c r="J938" s="149"/>
      <c r="K938" s="149"/>
      <c r="L938" s="149"/>
      <c r="M938" s="149"/>
      <c r="N938" s="149"/>
      <c r="O938" s="149"/>
      <c r="P938" s="149"/>
      <c r="Q938" s="149"/>
      <c r="R938" s="149"/>
      <c r="S938" s="149"/>
      <c r="T938" s="149"/>
      <c r="U938" s="149"/>
      <c r="V938" s="149"/>
      <c r="W938" s="149"/>
      <c r="X938" s="149"/>
      <c r="Y938" s="149"/>
      <c r="Z938" s="149"/>
      <c r="AA938" s="149"/>
      <c r="AB938" s="149"/>
      <c r="AC938" s="149"/>
      <c r="AD938" s="149"/>
      <c r="AE938" s="149"/>
      <c r="AF938" s="149"/>
      <c r="AG938" s="149"/>
      <c r="AH938" s="149"/>
      <c r="AI938" s="149"/>
    </row>
    <row r="939" spans="1:35" ht="36.75" thickBot="1">
      <c r="A939" s="162" t="s">
        <v>16</v>
      </c>
      <c r="B939" s="163">
        <v>43</v>
      </c>
      <c r="C939" s="243" t="s">
        <v>27</v>
      </c>
      <c r="D939" s="163"/>
      <c r="E939" s="230" t="s">
        <v>692</v>
      </c>
      <c r="F939" s="218"/>
      <c r="G939" s="907">
        <f>SUM(G931:G938)</f>
        <v>2502052</v>
      </c>
      <c r="H939" s="884">
        <f t="shared" ref="H939:I939" si="19">SUM(H931:H938)</f>
        <v>1606424.77</v>
      </c>
      <c r="I939" s="890">
        <f t="shared" si="19"/>
        <v>1856000</v>
      </c>
      <c r="J939" s="149"/>
      <c r="K939" s="149"/>
      <c r="L939" s="149"/>
      <c r="M939" s="149"/>
      <c r="N939" s="149"/>
      <c r="O939" s="149"/>
      <c r="P939" s="149"/>
      <c r="Q939" s="149"/>
      <c r="R939" s="149"/>
      <c r="S939" s="149"/>
      <c r="T939" s="149"/>
      <c r="U939" s="149"/>
      <c r="V939" s="149"/>
      <c r="W939" s="149"/>
      <c r="X939" s="149"/>
      <c r="Y939" s="149"/>
      <c r="Z939" s="149"/>
      <c r="AA939" s="149"/>
      <c r="AB939" s="149"/>
      <c r="AC939" s="149"/>
      <c r="AD939" s="149"/>
      <c r="AE939" s="149"/>
      <c r="AF939" s="149"/>
      <c r="AG939" s="149"/>
      <c r="AH939" s="149"/>
      <c r="AI939" s="149"/>
    </row>
    <row r="940" spans="1:35" ht="60">
      <c r="A940" s="146" t="s">
        <v>16</v>
      </c>
      <c r="B940" s="147">
        <v>51</v>
      </c>
      <c r="C940" s="253" t="s">
        <v>30</v>
      </c>
      <c r="D940" s="147">
        <v>632311500</v>
      </c>
      <c r="E940" s="226" t="s">
        <v>693</v>
      </c>
      <c r="F940" s="202"/>
      <c r="G940" s="883"/>
      <c r="H940" s="879"/>
      <c r="I940" s="880"/>
      <c r="J940" s="149"/>
      <c r="K940" s="149"/>
      <c r="L940" s="149"/>
      <c r="M940" s="149"/>
      <c r="N940" s="149"/>
      <c r="O940" s="149"/>
      <c r="P940" s="149"/>
      <c r="Q940" s="149"/>
      <c r="R940" s="149"/>
      <c r="S940" s="149"/>
      <c r="T940" s="149"/>
      <c r="U940" s="149"/>
      <c r="V940" s="149"/>
      <c r="W940" s="149"/>
      <c r="X940" s="149"/>
      <c r="Y940" s="149"/>
      <c r="Z940" s="149"/>
      <c r="AA940" s="149"/>
      <c r="AB940" s="149"/>
      <c r="AC940" s="149"/>
      <c r="AD940" s="149"/>
      <c r="AE940" s="149"/>
      <c r="AF940" s="149"/>
      <c r="AG940" s="149"/>
      <c r="AH940" s="149"/>
      <c r="AI940" s="149"/>
    </row>
    <row r="941" spans="1:35" ht="60.75" thickBot="1">
      <c r="A941" s="154" t="s">
        <v>16</v>
      </c>
      <c r="B941" s="155">
        <v>51</v>
      </c>
      <c r="C941" s="255" t="s">
        <v>30</v>
      </c>
      <c r="D941" s="155">
        <v>632311700</v>
      </c>
      <c r="E941" s="228" t="s">
        <v>31</v>
      </c>
      <c r="F941" s="220"/>
      <c r="G941" s="883"/>
      <c r="H941" s="879">
        <v>24078</v>
      </c>
      <c r="I941" s="880">
        <v>53242</v>
      </c>
      <c r="J941" s="149"/>
      <c r="K941" s="149"/>
      <c r="L941" s="149"/>
      <c r="M941" s="149"/>
      <c r="N941" s="149"/>
      <c r="O941" s="149"/>
      <c r="P941" s="149"/>
      <c r="Q941" s="149"/>
      <c r="R941" s="149"/>
      <c r="S941" s="149"/>
      <c r="T941" s="149"/>
      <c r="U941" s="149"/>
      <c r="V941" s="149"/>
      <c r="W941" s="149"/>
      <c r="X941" s="149"/>
      <c r="Y941" s="149"/>
      <c r="Z941" s="149"/>
      <c r="AA941" s="149"/>
      <c r="AB941" s="149"/>
      <c r="AC941" s="149"/>
      <c r="AD941" s="149"/>
      <c r="AE941" s="149"/>
      <c r="AF941" s="149"/>
      <c r="AG941" s="149"/>
      <c r="AH941" s="149"/>
      <c r="AI941" s="149"/>
    </row>
    <row r="942" spans="1:35" ht="12.75" thickBot="1">
      <c r="A942" s="162" t="s">
        <v>16</v>
      </c>
      <c r="B942" s="163">
        <v>51</v>
      </c>
      <c r="C942" s="243" t="s">
        <v>30</v>
      </c>
      <c r="D942" s="163"/>
      <c r="E942" s="230" t="s">
        <v>692</v>
      </c>
      <c r="F942" s="218"/>
      <c r="G942" s="907">
        <f>SUM(G940:G941)</f>
        <v>0</v>
      </c>
      <c r="H942" s="884">
        <f t="shared" ref="H942:I942" si="20">SUM(H940:H941)</f>
        <v>24078</v>
      </c>
      <c r="I942" s="890">
        <f t="shared" si="20"/>
        <v>53242</v>
      </c>
      <c r="J942" s="149"/>
      <c r="K942" s="149"/>
      <c r="L942" s="149"/>
      <c r="M942" s="149"/>
      <c r="N942" s="149"/>
      <c r="O942" s="149"/>
      <c r="P942" s="149"/>
      <c r="Q942" s="149"/>
      <c r="R942" s="149"/>
      <c r="S942" s="149"/>
      <c r="T942" s="149"/>
      <c r="U942" s="149"/>
      <c r="V942" s="149"/>
      <c r="W942" s="149"/>
      <c r="X942" s="149"/>
      <c r="Y942" s="149"/>
      <c r="Z942" s="149"/>
      <c r="AA942" s="149"/>
      <c r="AB942" s="149"/>
      <c r="AC942" s="149"/>
      <c r="AD942" s="149"/>
      <c r="AE942" s="149"/>
      <c r="AF942" s="149"/>
      <c r="AG942" s="149"/>
      <c r="AH942" s="149"/>
      <c r="AI942" s="149"/>
    </row>
    <row r="943" spans="1:35" ht="60">
      <c r="A943" s="146" t="s">
        <v>16</v>
      </c>
      <c r="B943" s="147">
        <v>52</v>
      </c>
      <c r="C943" s="253" t="s">
        <v>32</v>
      </c>
      <c r="D943" s="147">
        <v>631120000</v>
      </c>
      <c r="E943" s="226" t="s">
        <v>33</v>
      </c>
      <c r="F943" s="202"/>
      <c r="G943" s="883"/>
      <c r="H943" s="879"/>
      <c r="I943" s="880"/>
      <c r="J943" s="149"/>
      <c r="K943" s="149"/>
      <c r="L943" s="149"/>
      <c r="M943" s="149"/>
      <c r="N943" s="149"/>
      <c r="O943" s="149"/>
      <c r="P943" s="149"/>
      <c r="Q943" s="149"/>
      <c r="R943" s="149"/>
      <c r="S943" s="149"/>
      <c r="T943" s="149"/>
      <c r="U943" s="149"/>
      <c r="V943" s="149"/>
      <c r="W943" s="149"/>
      <c r="X943" s="149"/>
      <c r="Y943" s="149"/>
      <c r="Z943" s="149"/>
      <c r="AA943" s="149"/>
      <c r="AB943" s="149"/>
      <c r="AC943" s="149"/>
      <c r="AD943" s="149"/>
      <c r="AE943" s="149"/>
      <c r="AF943" s="149"/>
      <c r="AG943" s="149"/>
      <c r="AH943" s="149"/>
      <c r="AI943" s="149"/>
    </row>
    <row r="944" spans="1:35" ht="72">
      <c r="A944" s="150" t="s">
        <v>16</v>
      </c>
      <c r="B944" s="151">
        <v>52</v>
      </c>
      <c r="C944" s="254" t="s">
        <v>32</v>
      </c>
      <c r="D944" s="151">
        <v>6341</v>
      </c>
      <c r="E944" s="227" t="s">
        <v>34</v>
      </c>
      <c r="F944" s="219"/>
      <c r="G944" s="883"/>
      <c r="H944" s="879"/>
      <c r="I944" s="880"/>
      <c r="J944" s="149"/>
      <c r="K944" s="149"/>
      <c r="L944" s="149"/>
      <c r="M944" s="149"/>
      <c r="N944" s="149"/>
      <c r="O944" s="149"/>
      <c r="P944" s="149"/>
      <c r="Q944" s="149"/>
      <c r="R944" s="149"/>
      <c r="S944" s="149"/>
      <c r="T944" s="149"/>
      <c r="U944" s="149"/>
      <c r="V944" s="149"/>
      <c r="W944" s="149"/>
      <c r="X944" s="149"/>
      <c r="Y944" s="149"/>
      <c r="Z944" s="149"/>
      <c r="AA944" s="149"/>
      <c r="AB944" s="149"/>
      <c r="AC944" s="149"/>
      <c r="AD944" s="149"/>
      <c r="AE944" s="149"/>
      <c r="AF944" s="149"/>
      <c r="AG944" s="149"/>
      <c r="AH944" s="149"/>
      <c r="AI944" s="149"/>
    </row>
    <row r="945" spans="1:35" ht="96">
      <c r="A945" s="150" t="s">
        <v>16</v>
      </c>
      <c r="B945" s="151">
        <v>52</v>
      </c>
      <c r="C945" s="254" t="s">
        <v>32</v>
      </c>
      <c r="D945" s="151">
        <v>6361</v>
      </c>
      <c r="E945" s="227" t="s">
        <v>35</v>
      </c>
      <c r="F945" s="219"/>
      <c r="G945" s="883"/>
      <c r="H945" s="879">
        <v>445604</v>
      </c>
      <c r="I945" s="880">
        <v>650000</v>
      </c>
      <c r="J945" s="149"/>
      <c r="K945" s="149"/>
      <c r="L945" s="149"/>
      <c r="M945" s="149"/>
      <c r="N945" s="149"/>
      <c r="O945" s="149"/>
      <c r="P945" s="149"/>
      <c r="Q945" s="149"/>
      <c r="R945" s="149"/>
      <c r="S945" s="149"/>
      <c r="T945" s="149"/>
      <c r="U945" s="149"/>
      <c r="V945" s="149"/>
      <c r="W945" s="149"/>
      <c r="X945" s="149"/>
      <c r="Y945" s="149"/>
      <c r="Z945" s="149"/>
      <c r="AA945" s="149"/>
      <c r="AB945" s="149"/>
      <c r="AC945" s="149"/>
      <c r="AD945" s="149"/>
      <c r="AE945" s="149"/>
      <c r="AF945" s="149"/>
      <c r="AG945" s="149"/>
      <c r="AH945" s="149"/>
      <c r="AI945" s="149"/>
    </row>
    <row r="946" spans="1:35" s="161" customFormat="1" ht="96">
      <c r="A946" s="150" t="s">
        <v>16</v>
      </c>
      <c r="B946" s="151">
        <v>52</v>
      </c>
      <c r="C946" s="254" t="s">
        <v>32</v>
      </c>
      <c r="D946" s="151">
        <v>6362</v>
      </c>
      <c r="E946" s="227" t="s">
        <v>792</v>
      </c>
      <c r="F946" s="219"/>
      <c r="G946" s="883"/>
      <c r="H946" s="879"/>
      <c r="I946" s="880"/>
      <c r="J946" s="160"/>
      <c r="K946" s="160"/>
      <c r="L946" s="160"/>
      <c r="M946" s="160"/>
      <c r="N946" s="160"/>
      <c r="O946" s="160"/>
      <c r="P946" s="160"/>
      <c r="Q946" s="160"/>
      <c r="R946" s="160"/>
      <c r="S946" s="160"/>
      <c r="T946" s="160"/>
      <c r="U946" s="160"/>
      <c r="V946" s="160"/>
      <c r="W946" s="160"/>
      <c r="X946" s="160"/>
      <c r="Y946" s="160"/>
      <c r="Z946" s="160"/>
      <c r="AA946" s="160"/>
      <c r="AB946" s="160"/>
      <c r="AC946" s="160"/>
      <c r="AD946" s="160"/>
      <c r="AE946" s="160"/>
      <c r="AF946" s="160"/>
      <c r="AG946" s="160"/>
      <c r="AH946" s="160"/>
      <c r="AI946" s="160"/>
    </row>
    <row r="947" spans="1:35" s="166" customFormat="1" ht="60">
      <c r="A947" s="150" t="s">
        <v>16</v>
      </c>
      <c r="B947" s="151">
        <v>52</v>
      </c>
      <c r="C947" s="254" t="s">
        <v>32</v>
      </c>
      <c r="D947" s="151">
        <v>6381</v>
      </c>
      <c r="E947" s="227" t="s">
        <v>694</v>
      </c>
      <c r="F947" s="219"/>
      <c r="G947" s="618">
        <v>640415</v>
      </c>
      <c r="H947" s="879"/>
      <c r="I947" s="880"/>
      <c r="J947" s="165"/>
      <c r="K947" s="165"/>
      <c r="L947" s="165"/>
      <c r="M947" s="165"/>
      <c r="N947" s="165"/>
      <c r="O947" s="165"/>
      <c r="P947" s="165"/>
      <c r="Q947" s="165"/>
      <c r="R947" s="165"/>
      <c r="S947" s="165"/>
      <c r="T947" s="165"/>
      <c r="U947" s="165"/>
      <c r="V947" s="165"/>
      <c r="W947" s="165"/>
      <c r="X947" s="165"/>
      <c r="Y947" s="165"/>
      <c r="Z947" s="165"/>
      <c r="AA947" s="165"/>
      <c r="AB947" s="165"/>
      <c r="AC947" s="165"/>
      <c r="AD947" s="165"/>
      <c r="AE947" s="165"/>
      <c r="AF947" s="165"/>
      <c r="AG947" s="165"/>
      <c r="AH947" s="165"/>
      <c r="AI947" s="165"/>
    </row>
    <row r="948" spans="1:35" ht="84">
      <c r="A948" s="150" t="s">
        <v>16</v>
      </c>
      <c r="B948" s="151">
        <v>52</v>
      </c>
      <c r="C948" s="254" t="s">
        <v>32</v>
      </c>
      <c r="D948" s="151">
        <v>6391</v>
      </c>
      <c r="E948" s="227" t="s">
        <v>36</v>
      </c>
      <c r="F948" s="219"/>
      <c r="G948" s="503">
        <v>3004</v>
      </c>
      <c r="H948" s="879">
        <v>1171829</v>
      </c>
      <c r="I948" s="880">
        <v>1700000</v>
      </c>
      <c r="J948" s="149"/>
      <c r="K948" s="149"/>
      <c r="L948" s="149"/>
      <c r="M948" s="149"/>
      <c r="N948" s="149"/>
      <c r="O948" s="149"/>
      <c r="P948" s="149"/>
      <c r="Q948" s="149"/>
      <c r="R948" s="149"/>
      <c r="S948" s="149"/>
      <c r="T948" s="149"/>
      <c r="U948" s="149"/>
      <c r="V948" s="149"/>
      <c r="W948" s="149"/>
      <c r="X948" s="149"/>
      <c r="Y948" s="149"/>
      <c r="Z948" s="149"/>
      <c r="AA948" s="149"/>
      <c r="AB948" s="149"/>
      <c r="AC948" s="149"/>
      <c r="AD948" s="149"/>
      <c r="AE948" s="149"/>
      <c r="AF948" s="149"/>
      <c r="AG948" s="149"/>
      <c r="AH948" s="149"/>
      <c r="AI948" s="149"/>
    </row>
    <row r="949" spans="1:35" ht="84">
      <c r="A949" s="150" t="s">
        <v>16</v>
      </c>
      <c r="B949" s="151">
        <v>52</v>
      </c>
      <c r="C949" s="254" t="s">
        <v>32</v>
      </c>
      <c r="D949" s="151">
        <v>6392</v>
      </c>
      <c r="E949" s="227" t="s">
        <v>695</v>
      </c>
      <c r="F949" s="219"/>
      <c r="G949" s="503"/>
      <c r="H949" s="879"/>
      <c r="I949" s="880"/>
      <c r="J949" s="149"/>
      <c r="K949" s="149"/>
      <c r="L949" s="149"/>
      <c r="M949" s="149"/>
      <c r="N949" s="149"/>
      <c r="O949" s="149"/>
      <c r="P949" s="149"/>
      <c r="Q949" s="149"/>
      <c r="R949" s="149"/>
      <c r="S949" s="149"/>
      <c r="T949" s="149"/>
      <c r="U949" s="149"/>
      <c r="V949" s="149"/>
      <c r="W949" s="149"/>
      <c r="X949" s="149"/>
      <c r="Y949" s="149"/>
      <c r="Z949" s="149"/>
      <c r="AA949" s="149"/>
      <c r="AB949" s="149"/>
      <c r="AC949" s="149"/>
      <c r="AD949" s="149"/>
      <c r="AE949" s="149"/>
      <c r="AF949" s="149"/>
      <c r="AG949" s="149"/>
      <c r="AH949" s="149"/>
      <c r="AI949" s="149"/>
    </row>
    <row r="950" spans="1:35" ht="120">
      <c r="A950" s="150" t="s">
        <v>16</v>
      </c>
      <c r="B950" s="151">
        <v>52</v>
      </c>
      <c r="C950" s="254" t="s">
        <v>32</v>
      </c>
      <c r="D950" s="151">
        <v>6393</v>
      </c>
      <c r="E950" s="227" t="s">
        <v>37</v>
      </c>
      <c r="F950" s="219"/>
      <c r="G950" s="503">
        <f>17025+324948</f>
        <v>341973</v>
      </c>
      <c r="H950" s="879">
        <v>408678</v>
      </c>
      <c r="I950" s="880">
        <v>650000</v>
      </c>
      <c r="J950" s="149"/>
      <c r="K950" s="149"/>
      <c r="L950" s="149"/>
      <c r="M950" s="149"/>
      <c r="N950" s="149"/>
      <c r="O950" s="149"/>
      <c r="P950" s="149"/>
      <c r="Q950" s="149"/>
      <c r="R950" s="149"/>
      <c r="S950" s="149"/>
      <c r="T950" s="149"/>
      <c r="U950" s="149"/>
      <c r="V950" s="149"/>
      <c r="W950" s="149"/>
      <c r="X950" s="149"/>
      <c r="Y950" s="149"/>
      <c r="Z950" s="149"/>
      <c r="AA950" s="149"/>
      <c r="AB950" s="149"/>
      <c r="AC950" s="149"/>
      <c r="AD950" s="149"/>
      <c r="AE950" s="149"/>
      <c r="AF950" s="149"/>
      <c r="AG950" s="149"/>
      <c r="AH950" s="149"/>
      <c r="AI950" s="149"/>
    </row>
    <row r="951" spans="1:35" ht="120">
      <c r="A951" s="150" t="s">
        <v>16</v>
      </c>
      <c r="B951" s="151">
        <v>52</v>
      </c>
      <c r="C951" s="254" t="s">
        <v>722</v>
      </c>
      <c r="D951" s="151">
        <v>6394</v>
      </c>
      <c r="E951" s="227" t="s">
        <v>723</v>
      </c>
      <c r="F951" s="219"/>
      <c r="G951" s="883"/>
      <c r="H951" s="879"/>
      <c r="I951" s="880"/>
      <c r="J951" s="149"/>
      <c r="K951" s="149"/>
      <c r="L951" s="149"/>
      <c r="M951" s="149"/>
      <c r="N951" s="149"/>
      <c r="O951" s="149"/>
      <c r="P951" s="149"/>
      <c r="Q951" s="149"/>
      <c r="R951" s="149"/>
      <c r="S951" s="149"/>
      <c r="T951" s="149"/>
      <c r="U951" s="149"/>
      <c r="V951" s="149"/>
      <c r="W951" s="149"/>
      <c r="X951" s="149"/>
      <c r="Y951" s="149"/>
      <c r="Z951" s="149"/>
      <c r="AA951" s="149"/>
      <c r="AB951" s="149"/>
      <c r="AC951" s="149"/>
      <c r="AD951" s="149"/>
      <c r="AE951" s="149"/>
      <c r="AF951" s="149"/>
      <c r="AG951" s="149"/>
      <c r="AH951" s="149"/>
      <c r="AI951" s="149"/>
    </row>
    <row r="952" spans="1:35" ht="48.75" thickBot="1">
      <c r="A952" s="154" t="s">
        <v>16</v>
      </c>
      <c r="B952" s="155">
        <v>52</v>
      </c>
      <c r="C952" s="255" t="s">
        <v>32</v>
      </c>
      <c r="D952" s="155">
        <v>6415</v>
      </c>
      <c r="E952" s="228" t="s">
        <v>717</v>
      </c>
      <c r="F952" s="220"/>
      <c r="G952" s="883"/>
      <c r="H952" s="879"/>
      <c r="I952" s="880"/>
      <c r="J952" s="149"/>
      <c r="K952" s="149"/>
      <c r="L952" s="149"/>
      <c r="M952" s="149"/>
      <c r="N952" s="149"/>
      <c r="O952" s="149"/>
      <c r="P952" s="149"/>
      <c r="Q952" s="149"/>
      <c r="R952" s="149"/>
      <c r="S952" s="149"/>
      <c r="T952" s="149"/>
      <c r="U952" s="149"/>
      <c r="V952" s="149"/>
      <c r="W952" s="149"/>
      <c r="X952" s="149"/>
      <c r="Y952" s="149"/>
      <c r="Z952" s="149"/>
      <c r="AA952" s="149"/>
      <c r="AB952" s="149"/>
      <c r="AC952" s="149"/>
      <c r="AD952" s="149"/>
      <c r="AE952" s="149"/>
      <c r="AF952" s="149"/>
      <c r="AG952" s="149"/>
      <c r="AH952" s="149"/>
      <c r="AI952" s="149"/>
    </row>
    <row r="953" spans="1:35" s="166" customFormat="1" ht="12.75" thickBot="1">
      <c r="A953" s="162" t="s">
        <v>16</v>
      </c>
      <c r="B953" s="163">
        <v>52</v>
      </c>
      <c r="C953" s="243" t="s">
        <v>32</v>
      </c>
      <c r="D953" s="163"/>
      <c r="E953" s="230" t="s">
        <v>692</v>
      </c>
      <c r="F953" s="218"/>
      <c r="G953" s="907">
        <f t="shared" ref="G953:I953" si="21">SUM(G943:G952)</f>
        <v>985392</v>
      </c>
      <c r="H953" s="884">
        <f t="shared" si="21"/>
        <v>2026111</v>
      </c>
      <c r="I953" s="890">
        <f t="shared" si="21"/>
        <v>3000000</v>
      </c>
      <c r="J953" s="165"/>
      <c r="K953" s="165"/>
      <c r="L953" s="165"/>
      <c r="M953" s="165"/>
      <c r="N953" s="165"/>
      <c r="O953" s="165"/>
      <c r="P953" s="165"/>
      <c r="Q953" s="165"/>
      <c r="R953" s="165"/>
      <c r="S953" s="165"/>
      <c r="T953" s="165"/>
      <c r="U953" s="165"/>
      <c r="V953" s="165"/>
      <c r="W953" s="165"/>
      <c r="X953" s="165"/>
      <c r="Y953" s="165"/>
      <c r="Z953" s="165"/>
      <c r="AA953" s="165"/>
      <c r="AB953" s="165"/>
      <c r="AC953" s="165"/>
      <c r="AD953" s="165"/>
      <c r="AE953" s="165"/>
      <c r="AF953" s="165"/>
      <c r="AG953" s="165"/>
      <c r="AH953" s="165"/>
      <c r="AI953" s="165"/>
    </row>
    <row r="954" spans="1:35" s="161" customFormat="1" ht="48">
      <c r="A954" s="146" t="s">
        <v>16</v>
      </c>
      <c r="B954" s="147">
        <v>61</v>
      </c>
      <c r="C954" s="253" t="s">
        <v>40</v>
      </c>
      <c r="D954" s="147">
        <v>663110000</v>
      </c>
      <c r="E954" s="226" t="s">
        <v>41</v>
      </c>
      <c r="F954" s="202"/>
      <c r="G954" s="883"/>
      <c r="H954" s="879">
        <v>2600</v>
      </c>
      <c r="I954" s="880">
        <v>2600</v>
      </c>
      <c r="J954" s="160"/>
      <c r="K954" s="160"/>
      <c r="L954" s="160"/>
      <c r="M954" s="160"/>
      <c r="N954" s="160"/>
      <c r="O954" s="160"/>
      <c r="P954" s="160"/>
      <c r="Q954" s="160"/>
      <c r="R954" s="160"/>
      <c r="S954" s="160"/>
      <c r="T954" s="160"/>
      <c r="U954" s="160"/>
      <c r="V954" s="160"/>
      <c r="W954" s="160"/>
      <c r="X954" s="160"/>
      <c r="Y954" s="160"/>
      <c r="Z954" s="160"/>
      <c r="AA954" s="160"/>
      <c r="AB954" s="160"/>
      <c r="AC954" s="160"/>
      <c r="AD954" s="160"/>
      <c r="AE954" s="160"/>
      <c r="AF954" s="160"/>
      <c r="AG954" s="160"/>
      <c r="AH954" s="160"/>
      <c r="AI954" s="160"/>
    </row>
    <row r="955" spans="1:35" ht="48">
      <c r="A955" s="150" t="s">
        <v>16</v>
      </c>
      <c r="B955" s="151">
        <v>61</v>
      </c>
      <c r="C955" s="254" t="s">
        <v>40</v>
      </c>
      <c r="D955" s="151">
        <v>663120000</v>
      </c>
      <c r="E955" s="227" t="s">
        <v>42</v>
      </c>
      <c r="F955" s="219"/>
      <c r="G955" s="883"/>
      <c r="H955" s="879"/>
      <c r="I955" s="880"/>
      <c r="J955" s="149"/>
      <c r="K955" s="149"/>
      <c r="L955" s="149"/>
      <c r="M955" s="149"/>
      <c r="N955" s="149"/>
      <c r="O955" s="149"/>
      <c r="P955" s="149"/>
      <c r="Q955" s="149"/>
      <c r="R955" s="149"/>
      <c r="S955" s="149"/>
      <c r="T955" s="149"/>
      <c r="U955" s="149"/>
      <c r="V955" s="149"/>
      <c r="W955" s="149"/>
      <c r="X955" s="149"/>
      <c r="Y955" s="149"/>
      <c r="Z955" s="149"/>
      <c r="AA955" s="149"/>
      <c r="AB955" s="149"/>
      <c r="AC955" s="149"/>
      <c r="AD955" s="149"/>
      <c r="AE955" s="149"/>
      <c r="AF955" s="149"/>
      <c r="AG955" s="149"/>
      <c r="AH955" s="149"/>
      <c r="AI955" s="149"/>
    </row>
    <row r="956" spans="1:35" ht="48">
      <c r="A956" s="150" t="s">
        <v>16</v>
      </c>
      <c r="B956" s="151">
        <v>61</v>
      </c>
      <c r="C956" s="254" t="s">
        <v>40</v>
      </c>
      <c r="D956" s="151">
        <v>663130000</v>
      </c>
      <c r="E956" s="227" t="s">
        <v>43</v>
      </c>
      <c r="F956" s="219"/>
      <c r="G956" s="883"/>
      <c r="H956" s="879"/>
      <c r="I956" s="880"/>
      <c r="J956" s="149"/>
      <c r="K956" s="149"/>
      <c r="L956" s="149"/>
      <c r="M956" s="149"/>
      <c r="N956" s="149"/>
      <c r="O956" s="149"/>
      <c r="P956" s="149"/>
      <c r="Q956" s="149"/>
      <c r="R956" s="149"/>
      <c r="S956" s="149"/>
      <c r="T956" s="149"/>
      <c r="U956" s="149"/>
      <c r="V956" s="149"/>
      <c r="W956" s="149"/>
      <c r="X956" s="149"/>
      <c r="Y956" s="149"/>
      <c r="Z956" s="149"/>
      <c r="AA956" s="149"/>
      <c r="AB956" s="149"/>
      <c r="AC956" s="149"/>
      <c r="AD956" s="149"/>
      <c r="AE956" s="149"/>
      <c r="AF956" s="149"/>
      <c r="AG956" s="149"/>
      <c r="AH956" s="149"/>
      <c r="AI956" s="149"/>
    </row>
    <row r="957" spans="1:35" s="161" customFormat="1" ht="72">
      <c r="A957" s="150" t="s">
        <v>16</v>
      </c>
      <c r="B957" s="151">
        <v>61</v>
      </c>
      <c r="C957" s="254" t="s">
        <v>40</v>
      </c>
      <c r="D957" s="151">
        <v>663140000</v>
      </c>
      <c r="E957" s="227" t="s">
        <v>44</v>
      </c>
      <c r="F957" s="219"/>
      <c r="G957" s="883"/>
      <c r="H957" s="879"/>
      <c r="I957" s="880"/>
      <c r="J957" s="160"/>
      <c r="K957" s="160"/>
      <c r="L957" s="160"/>
      <c r="M957" s="160"/>
      <c r="N957" s="160"/>
      <c r="O957" s="160"/>
      <c r="P957" s="160"/>
      <c r="Q957" s="160"/>
      <c r="R957" s="160"/>
      <c r="S957" s="160"/>
      <c r="T957" s="160"/>
      <c r="U957" s="160"/>
      <c r="V957" s="160"/>
      <c r="W957" s="160"/>
      <c r="X957" s="160"/>
      <c r="Y957" s="160"/>
      <c r="Z957" s="160"/>
      <c r="AA957" s="160"/>
      <c r="AB957" s="160"/>
      <c r="AC957" s="160"/>
      <c r="AD957" s="160"/>
      <c r="AE957" s="160"/>
      <c r="AF957" s="160"/>
      <c r="AG957" s="160"/>
      <c r="AH957" s="160"/>
      <c r="AI957" s="160"/>
    </row>
    <row r="958" spans="1:35" ht="60">
      <c r="A958" s="150" t="s">
        <v>16</v>
      </c>
      <c r="B958" s="151">
        <v>61</v>
      </c>
      <c r="C958" s="254" t="s">
        <v>40</v>
      </c>
      <c r="D958" s="151">
        <v>663210000</v>
      </c>
      <c r="E958" s="227" t="s">
        <v>45</v>
      </c>
      <c r="F958" s="219"/>
      <c r="G958" s="883"/>
      <c r="H958" s="879"/>
      <c r="I958" s="880"/>
      <c r="J958" s="149"/>
      <c r="K958" s="149"/>
      <c r="L958" s="149"/>
      <c r="M958" s="149"/>
      <c r="N958" s="149"/>
      <c r="O958" s="149"/>
      <c r="P958" s="149"/>
      <c r="Q958" s="149"/>
      <c r="R958" s="149"/>
      <c r="S958" s="149"/>
      <c r="T958" s="149"/>
      <c r="U958" s="149"/>
      <c r="V958" s="149"/>
      <c r="W958" s="149"/>
      <c r="X958" s="149"/>
      <c r="Y958" s="149"/>
      <c r="Z958" s="149"/>
      <c r="AA958" s="149"/>
      <c r="AB958" s="149"/>
      <c r="AC958" s="149"/>
      <c r="AD958" s="149"/>
      <c r="AE958" s="149"/>
      <c r="AF958" s="149"/>
      <c r="AG958" s="149"/>
      <c r="AH958" s="149"/>
      <c r="AI958" s="149"/>
    </row>
    <row r="959" spans="1:35" ht="48">
      <c r="A959" s="150" t="s">
        <v>16</v>
      </c>
      <c r="B959" s="151">
        <v>61</v>
      </c>
      <c r="C959" s="254" t="s">
        <v>40</v>
      </c>
      <c r="D959" s="151">
        <v>663230000</v>
      </c>
      <c r="E959" s="227" t="s">
        <v>46</v>
      </c>
      <c r="F959" s="219"/>
      <c r="G959" s="883"/>
      <c r="H959" s="879"/>
      <c r="I959" s="880"/>
      <c r="J959" s="149"/>
      <c r="K959" s="149"/>
      <c r="L959" s="149"/>
      <c r="M959" s="149"/>
      <c r="N959" s="149"/>
      <c r="O959" s="149"/>
      <c r="P959" s="149"/>
      <c r="Q959" s="149"/>
      <c r="R959" s="149"/>
      <c r="S959" s="149"/>
      <c r="T959" s="149"/>
      <c r="U959" s="149"/>
      <c r="V959" s="149"/>
      <c r="W959" s="149"/>
      <c r="X959" s="149"/>
      <c r="Y959" s="149"/>
      <c r="Z959" s="149"/>
      <c r="AA959" s="149"/>
      <c r="AB959" s="149"/>
      <c r="AC959" s="149"/>
      <c r="AD959" s="149"/>
      <c r="AE959" s="149"/>
      <c r="AF959" s="149"/>
      <c r="AG959" s="149"/>
      <c r="AH959" s="149"/>
      <c r="AI959" s="149"/>
    </row>
    <row r="960" spans="1:35" ht="72.75" thickBot="1">
      <c r="A960" s="154" t="s">
        <v>16</v>
      </c>
      <c r="B960" s="155">
        <v>61</v>
      </c>
      <c r="C960" s="255" t="s">
        <v>40</v>
      </c>
      <c r="D960" s="155">
        <v>663240000</v>
      </c>
      <c r="E960" s="228" t="s">
        <v>696</v>
      </c>
      <c r="F960" s="220"/>
      <c r="G960" s="883"/>
      <c r="H960" s="879"/>
      <c r="I960" s="880"/>
      <c r="J960" s="149"/>
      <c r="K960" s="149"/>
      <c r="L960" s="149"/>
      <c r="M960" s="149"/>
      <c r="N960" s="149"/>
      <c r="O960" s="149"/>
      <c r="P960" s="149"/>
      <c r="Q960" s="149"/>
      <c r="R960" s="149"/>
      <c r="S960" s="149"/>
      <c r="T960" s="149"/>
      <c r="U960" s="149"/>
      <c r="V960" s="149"/>
      <c r="W960" s="149"/>
      <c r="X960" s="149"/>
      <c r="Y960" s="149"/>
      <c r="Z960" s="149"/>
      <c r="AA960" s="149"/>
      <c r="AB960" s="149"/>
      <c r="AC960" s="149"/>
      <c r="AD960" s="149"/>
      <c r="AE960" s="149"/>
      <c r="AF960" s="149"/>
      <c r="AG960" s="149"/>
      <c r="AH960" s="149"/>
      <c r="AI960" s="149"/>
    </row>
    <row r="961" spans="1:35" ht="12.75" thickBot="1">
      <c r="A961" s="162" t="s">
        <v>16</v>
      </c>
      <c r="B961" s="163">
        <v>61</v>
      </c>
      <c r="C961" s="243" t="s">
        <v>40</v>
      </c>
      <c r="D961" s="163"/>
      <c r="E961" s="230" t="s">
        <v>692</v>
      </c>
      <c r="F961" s="218"/>
      <c r="G961" s="907">
        <f>SUM(G954:G960)</f>
        <v>0</v>
      </c>
      <c r="H961" s="884">
        <f t="shared" ref="H961:I961" si="22">SUM(H954:H960)</f>
        <v>2600</v>
      </c>
      <c r="I961" s="890">
        <f t="shared" si="22"/>
        <v>2600</v>
      </c>
      <c r="J961" s="149"/>
      <c r="K961" s="149"/>
      <c r="L961" s="149"/>
      <c r="M961" s="149"/>
      <c r="N961" s="149"/>
      <c r="O961" s="149"/>
      <c r="P961" s="149"/>
      <c r="Q961" s="149"/>
      <c r="R961" s="149"/>
      <c r="S961" s="149"/>
      <c r="T961" s="149"/>
      <c r="U961" s="149"/>
      <c r="V961" s="149"/>
      <c r="W961" s="149"/>
      <c r="X961" s="149"/>
      <c r="Y961" s="149"/>
      <c r="Z961" s="149"/>
      <c r="AA961" s="149"/>
      <c r="AB961" s="149"/>
      <c r="AC961" s="149"/>
      <c r="AD961" s="149"/>
      <c r="AE961" s="149"/>
      <c r="AF961" s="149"/>
      <c r="AG961" s="149"/>
      <c r="AH961" s="149"/>
      <c r="AI961" s="149"/>
    </row>
    <row r="962" spans="1:35" ht="60.75" thickBot="1">
      <c r="A962" s="162" t="s">
        <v>16</v>
      </c>
      <c r="B962" s="163">
        <v>63</v>
      </c>
      <c r="C962" s="243" t="s">
        <v>732</v>
      </c>
      <c r="D962" s="163">
        <v>6631</v>
      </c>
      <c r="E962" s="243" t="s">
        <v>785</v>
      </c>
      <c r="F962" s="218"/>
      <c r="G962" s="907"/>
      <c r="H962" s="884"/>
      <c r="I962" s="890"/>
      <c r="J962" s="149"/>
      <c r="K962" s="149"/>
      <c r="L962" s="149"/>
      <c r="M962" s="149"/>
      <c r="N962" s="149"/>
      <c r="O962" s="149"/>
      <c r="P962" s="149"/>
      <c r="Q962" s="149"/>
      <c r="R962" s="149"/>
      <c r="S962" s="149"/>
      <c r="T962" s="149"/>
      <c r="U962" s="149"/>
      <c r="V962" s="149"/>
      <c r="W962" s="149"/>
      <c r="X962" s="149"/>
      <c r="Y962" s="149"/>
      <c r="Z962" s="149"/>
      <c r="AA962" s="149"/>
      <c r="AB962" s="149"/>
      <c r="AC962" s="149"/>
      <c r="AD962" s="149"/>
      <c r="AE962" s="149"/>
      <c r="AF962" s="149"/>
      <c r="AG962" s="149"/>
      <c r="AH962" s="149"/>
      <c r="AI962" s="149"/>
    </row>
    <row r="963" spans="1:35" s="166" customFormat="1" ht="72">
      <c r="A963" s="146" t="s">
        <v>16</v>
      </c>
      <c r="B963" s="147">
        <v>71</v>
      </c>
      <c r="C963" s="253" t="s">
        <v>47</v>
      </c>
      <c r="D963" s="147">
        <v>71112</v>
      </c>
      <c r="E963" s="226" t="s">
        <v>747</v>
      </c>
      <c r="F963" s="202"/>
      <c r="G963" s="883"/>
      <c r="H963" s="879"/>
      <c r="I963" s="880"/>
      <c r="J963" s="165"/>
      <c r="K963" s="165"/>
      <c r="L963" s="165"/>
      <c r="M963" s="165"/>
      <c r="N963" s="165"/>
      <c r="O963" s="165"/>
      <c r="P963" s="165"/>
      <c r="Q963" s="165"/>
      <c r="R963" s="165"/>
      <c r="S963" s="165"/>
      <c r="T963" s="165"/>
      <c r="U963" s="165"/>
      <c r="V963" s="165"/>
      <c r="W963" s="165"/>
      <c r="X963" s="165"/>
      <c r="Y963" s="165"/>
      <c r="Z963" s="165"/>
      <c r="AA963" s="165"/>
      <c r="AB963" s="165"/>
      <c r="AC963" s="165"/>
      <c r="AD963" s="165"/>
      <c r="AE963" s="165"/>
      <c r="AF963" s="165"/>
      <c r="AG963" s="165"/>
      <c r="AH963" s="165"/>
      <c r="AI963" s="165"/>
    </row>
    <row r="964" spans="1:35" s="166" customFormat="1" ht="72">
      <c r="A964" s="150" t="s">
        <v>16</v>
      </c>
      <c r="B964" s="151">
        <v>71</v>
      </c>
      <c r="C964" s="254" t="s">
        <v>47</v>
      </c>
      <c r="D964" s="151">
        <v>721110071</v>
      </c>
      <c r="E964" s="227" t="s">
        <v>48</v>
      </c>
      <c r="F964" s="219"/>
      <c r="G964" s="618">
        <v>5000</v>
      </c>
      <c r="H964" s="879">
        <v>2537</v>
      </c>
      <c r="I964" s="880">
        <v>4000</v>
      </c>
      <c r="J964" s="165"/>
      <c r="K964" s="165"/>
      <c r="L964" s="165"/>
      <c r="M964" s="165"/>
      <c r="N964" s="165"/>
      <c r="O964" s="165"/>
      <c r="P964" s="165"/>
      <c r="Q964" s="165"/>
      <c r="R964" s="165"/>
      <c r="S964" s="165"/>
      <c r="T964" s="165"/>
      <c r="U964" s="165"/>
      <c r="V964" s="165"/>
      <c r="W964" s="165"/>
      <c r="X964" s="165"/>
      <c r="Y964" s="165"/>
      <c r="Z964" s="165"/>
      <c r="AA964" s="165"/>
      <c r="AB964" s="165"/>
      <c r="AC964" s="165"/>
      <c r="AD964" s="165"/>
      <c r="AE964" s="165"/>
      <c r="AF964" s="165"/>
      <c r="AG964" s="165"/>
      <c r="AH964" s="165"/>
      <c r="AI964" s="165"/>
    </row>
    <row r="965" spans="1:35" ht="72">
      <c r="A965" s="150" t="s">
        <v>16</v>
      </c>
      <c r="B965" s="151">
        <v>71</v>
      </c>
      <c r="C965" s="254" t="s">
        <v>47</v>
      </c>
      <c r="D965" s="151">
        <v>721190071</v>
      </c>
      <c r="E965" s="227" t="s">
        <v>697</v>
      </c>
      <c r="F965" s="219"/>
      <c r="G965" s="883"/>
      <c r="H965" s="879"/>
      <c r="I965" s="880"/>
      <c r="J965" s="149"/>
      <c r="K965" s="149"/>
      <c r="L965" s="149"/>
      <c r="M965" s="149"/>
      <c r="N965" s="149"/>
      <c r="O965" s="149"/>
      <c r="P965" s="149"/>
      <c r="Q965" s="149"/>
      <c r="R965" s="149"/>
      <c r="S965" s="149"/>
      <c r="T965" s="149"/>
      <c r="U965" s="149"/>
      <c r="V965" s="149"/>
      <c r="W965" s="149"/>
      <c r="X965" s="149"/>
      <c r="Y965" s="149"/>
      <c r="Z965" s="149"/>
      <c r="AA965" s="149"/>
      <c r="AB965" s="149"/>
      <c r="AC965" s="149"/>
      <c r="AD965" s="149"/>
      <c r="AE965" s="149"/>
      <c r="AF965" s="149"/>
      <c r="AG965" s="149"/>
      <c r="AH965" s="149"/>
      <c r="AI965" s="149"/>
    </row>
    <row r="966" spans="1:35" ht="72">
      <c r="A966" s="150" t="s">
        <v>16</v>
      </c>
      <c r="B966" s="151">
        <v>71</v>
      </c>
      <c r="C966" s="254" t="s">
        <v>47</v>
      </c>
      <c r="D966" s="151">
        <v>72311</v>
      </c>
      <c r="E966" s="227" t="s">
        <v>711</v>
      </c>
      <c r="F966" s="219"/>
      <c r="G966" s="883"/>
      <c r="H966" s="879"/>
      <c r="I966" s="880"/>
      <c r="J966" s="149"/>
      <c r="K966" s="149"/>
      <c r="L966" s="149"/>
      <c r="M966" s="149"/>
      <c r="N966" s="149"/>
      <c r="O966" s="149"/>
      <c r="P966" s="149"/>
      <c r="Q966" s="149"/>
      <c r="R966" s="149"/>
      <c r="S966" s="149"/>
      <c r="T966" s="149"/>
      <c r="U966" s="149"/>
      <c r="V966" s="149"/>
      <c r="W966" s="149"/>
      <c r="X966" s="149"/>
      <c r="Y966" s="149"/>
      <c r="Z966" s="149"/>
      <c r="AA966" s="149"/>
      <c r="AB966" s="149"/>
      <c r="AC966" s="149"/>
      <c r="AD966" s="149"/>
      <c r="AE966" s="149"/>
      <c r="AF966" s="149"/>
      <c r="AG966" s="149"/>
      <c r="AH966" s="149"/>
      <c r="AI966" s="149"/>
    </row>
    <row r="967" spans="1:35" ht="72.75" thickBot="1">
      <c r="A967" s="154" t="s">
        <v>16</v>
      </c>
      <c r="B967" s="155">
        <v>71</v>
      </c>
      <c r="C967" s="255" t="s">
        <v>47</v>
      </c>
      <c r="D967" s="155">
        <v>72421</v>
      </c>
      <c r="E967" s="244" t="s">
        <v>729</v>
      </c>
      <c r="F967" s="220"/>
      <c r="G967" s="883"/>
      <c r="H967" s="879"/>
      <c r="I967" s="880"/>
      <c r="J967" s="149"/>
      <c r="K967" s="149"/>
      <c r="L967" s="149"/>
      <c r="M967" s="149"/>
      <c r="N967" s="149"/>
      <c r="O967" s="149"/>
      <c r="P967" s="149"/>
      <c r="Q967" s="149"/>
      <c r="R967" s="149"/>
      <c r="S967" s="149"/>
      <c r="T967" s="149"/>
      <c r="U967" s="149"/>
      <c r="V967" s="149"/>
      <c r="W967" s="149"/>
      <c r="X967" s="149"/>
      <c r="Y967" s="149"/>
      <c r="Z967" s="149"/>
      <c r="AA967" s="149"/>
      <c r="AB967" s="149"/>
      <c r="AC967" s="149"/>
      <c r="AD967" s="149"/>
      <c r="AE967" s="149"/>
      <c r="AF967" s="149"/>
      <c r="AG967" s="149"/>
      <c r="AH967" s="149"/>
      <c r="AI967" s="149"/>
    </row>
    <row r="968" spans="1:35" ht="60.75" thickBot="1">
      <c r="A968" s="162" t="s">
        <v>16</v>
      </c>
      <c r="B968" s="163">
        <v>7</v>
      </c>
      <c r="C968" s="243" t="s">
        <v>47</v>
      </c>
      <c r="D968" s="163"/>
      <c r="E968" s="230" t="s">
        <v>692</v>
      </c>
      <c r="F968" s="218"/>
      <c r="G968" s="890">
        <f>SUM(G963+G966+G965+G964+G967+G995)</f>
        <v>5000</v>
      </c>
      <c r="H968" s="890">
        <f>SUM(H963+H966+H965+H964+H967+H995)</f>
        <v>7537</v>
      </c>
      <c r="I968" s="890">
        <f>SUM(I963+I966+I965+I964+I967+I995)</f>
        <v>109000</v>
      </c>
      <c r="J968" s="149"/>
      <c r="K968" s="149"/>
      <c r="L968" s="149"/>
      <c r="M968" s="149"/>
      <c r="N968" s="149"/>
      <c r="O968" s="149"/>
      <c r="P968" s="149"/>
      <c r="Q968" s="149"/>
      <c r="R968" s="149"/>
      <c r="S968" s="149"/>
      <c r="T968" s="149"/>
      <c r="U968" s="149"/>
      <c r="V968" s="149"/>
      <c r="W968" s="149"/>
      <c r="X968" s="149"/>
      <c r="Y968" s="149"/>
      <c r="Z968" s="149"/>
      <c r="AA968" s="149"/>
      <c r="AB968" s="149"/>
      <c r="AC968" s="149"/>
      <c r="AD968" s="149"/>
      <c r="AE968" s="149"/>
      <c r="AF968" s="149"/>
      <c r="AG968" s="149"/>
      <c r="AH968" s="149"/>
      <c r="AI968" s="149"/>
    </row>
    <row r="969" spans="1:35" ht="96.75" thickBot="1">
      <c r="A969" s="280" t="s">
        <v>16</v>
      </c>
      <c r="B969" s="215">
        <v>81</v>
      </c>
      <c r="C969" s="281" t="s">
        <v>733</v>
      </c>
      <c r="D969" s="215">
        <v>8181</v>
      </c>
      <c r="E969" s="282" t="s">
        <v>718</v>
      </c>
      <c r="F969" s="279"/>
      <c r="G969" s="883"/>
      <c r="H969" s="879"/>
      <c r="I969" s="880"/>
      <c r="J969" s="149"/>
      <c r="K969" s="149"/>
      <c r="L969" s="149"/>
      <c r="M969" s="149"/>
      <c r="N969" s="149"/>
      <c r="O969" s="149"/>
      <c r="P969" s="149"/>
      <c r="Q969" s="149"/>
      <c r="R969" s="149"/>
      <c r="S969" s="149"/>
      <c r="T969" s="149"/>
      <c r="U969" s="149"/>
      <c r="V969" s="149"/>
      <c r="W969" s="149"/>
      <c r="X969" s="149"/>
      <c r="Y969" s="149"/>
      <c r="Z969" s="149"/>
      <c r="AA969" s="149"/>
      <c r="AB969" s="149"/>
      <c r="AC969" s="149"/>
      <c r="AD969" s="149"/>
      <c r="AE969" s="149"/>
      <c r="AF969" s="149"/>
      <c r="AG969" s="149"/>
      <c r="AH969" s="149"/>
      <c r="AI969" s="149"/>
    </row>
    <row r="970" spans="1:35" ht="36.75" thickBot="1">
      <c r="A970" s="280" t="s">
        <v>16</v>
      </c>
      <c r="B970" s="215">
        <v>84</v>
      </c>
      <c r="C970" s="281" t="s">
        <v>733</v>
      </c>
      <c r="D970" s="215">
        <v>84</v>
      </c>
      <c r="E970" s="282" t="s">
        <v>787</v>
      </c>
      <c r="F970" s="279"/>
      <c r="G970" s="883"/>
      <c r="H970" s="879"/>
      <c r="I970" s="880"/>
      <c r="J970" s="149"/>
      <c r="K970" s="149"/>
      <c r="L970" s="149"/>
      <c r="M970" s="149"/>
      <c r="N970" s="149"/>
      <c r="O970" s="149"/>
      <c r="P970" s="149"/>
      <c r="Q970" s="149"/>
      <c r="R970" s="149"/>
      <c r="S970" s="149"/>
      <c r="T970" s="149"/>
      <c r="U970" s="149"/>
      <c r="V970" s="149"/>
      <c r="W970" s="149"/>
      <c r="X970" s="149"/>
      <c r="Y970" s="149"/>
      <c r="Z970" s="149"/>
      <c r="AA970" s="149"/>
      <c r="AB970" s="149"/>
      <c r="AC970" s="149"/>
      <c r="AD970" s="149"/>
      <c r="AE970" s="149"/>
      <c r="AF970" s="149"/>
      <c r="AG970" s="149"/>
      <c r="AH970" s="149"/>
      <c r="AI970" s="149"/>
    </row>
    <row r="971" spans="1:35" ht="48.75" thickBot="1">
      <c r="A971" s="170" t="s">
        <v>16</v>
      </c>
      <c r="B971" s="171">
        <v>8</v>
      </c>
      <c r="C971" s="263" t="s">
        <v>733</v>
      </c>
      <c r="D971" s="171"/>
      <c r="E971" s="235" t="s">
        <v>786</v>
      </c>
      <c r="F971" s="221"/>
      <c r="G971" s="878">
        <f>G969+G970</f>
        <v>0</v>
      </c>
      <c r="H971" s="907">
        <f t="shared" ref="H971:I971" si="23">H969+H970</f>
        <v>0</v>
      </c>
      <c r="I971" s="908">
        <f t="shared" si="23"/>
        <v>0</v>
      </c>
      <c r="J971" s="149"/>
      <c r="K971" s="149"/>
      <c r="L971" s="149"/>
      <c r="M971" s="149"/>
      <c r="N971" s="149"/>
      <c r="O971" s="149"/>
      <c r="P971" s="149"/>
      <c r="Q971" s="149"/>
      <c r="R971" s="149"/>
      <c r="S971" s="149"/>
      <c r="T971" s="149"/>
      <c r="U971" s="149"/>
      <c r="V971" s="149"/>
      <c r="W971" s="149"/>
      <c r="X971" s="149"/>
      <c r="Y971" s="149"/>
      <c r="Z971" s="149"/>
      <c r="AA971" s="149"/>
      <c r="AB971" s="149"/>
      <c r="AC971" s="149"/>
      <c r="AD971" s="149"/>
      <c r="AE971" s="149"/>
      <c r="AF971" s="149"/>
      <c r="AG971" s="149"/>
      <c r="AH971" s="149"/>
      <c r="AI971" s="149"/>
    </row>
    <row r="972" spans="1:35" ht="60">
      <c r="A972" s="146" t="s">
        <v>16</v>
      </c>
      <c r="B972" s="147">
        <v>561</v>
      </c>
      <c r="C972" s="253" t="s">
        <v>38</v>
      </c>
      <c r="D972" s="147">
        <v>632310561</v>
      </c>
      <c r="E972" s="226" t="s">
        <v>745</v>
      </c>
      <c r="F972" s="202"/>
      <c r="G972" s="883"/>
      <c r="H972" s="879"/>
      <c r="I972" s="880"/>
      <c r="J972" s="149"/>
      <c r="K972" s="149"/>
      <c r="L972" s="149"/>
      <c r="M972" s="149"/>
      <c r="N972" s="149"/>
      <c r="O972" s="149"/>
      <c r="P972" s="149"/>
      <c r="Q972" s="149"/>
      <c r="R972" s="149"/>
      <c r="S972" s="149"/>
      <c r="T972" s="149"/>
      <c r="U972" s="149"/>
      <c r="V972" s="149"/>
      <c r="W972" s="149"/>
      <c r="X972" s="149"/>
      <c r="Y972" s="149"/>
      <c r="Z972" s="149"/>
      <c r="AA972" s="149"/>
      <c r="AB972" s="149"/>
      <c r="AC972" s="149"/>
      <c r="AD972" s="149"/>
      <c r="AE972" s="149"/>
      <c r="AF972" s="149"/>
      <c r="AG972" s="149"/>
      <c r="AH972" s="149"/>
      <c r="AI972" s="149"/>
    </row>
    <row r="973" spans="1:35" ht="60.75" thickBot="1">
      <c r="A973" s="154" t="s">
        <v>16</v>
      </c>
      <c r="B973" s="155">
        <v>561</v>
      </c>
      <c r="C973" s="255" t="s">
        <v>38</v>
      </c>
      <c r="D973" s="155">
        <v>632410561</v>
      </c>
      <c r="E973" s="228" t="s">
        <v>746</v>
      </c>
      <c r="F973" s="220"/>
      <c r="G973" s="883"/>
      <c r="H973" s="879"/>
      <c r="I973" s="880"/>
    </row>
    <row r="974" spans="1:35" ht="36.75" thickBot="1">
      <c r="A974" s="162" t="s">
        <v>16</v>
      </c>
      <c r="B974" s="163">
        <v>561</v>
      </c>
      <c r="C974" s="243" t="s">
        <v>38</v>
      </c>
      <c r="D974" s="163"/>
      <c r="E974" s="230" t="s">
        <v>692</v>
      </c>
      <c r="F974" s="218"/>
      <c r="G974" s="907">
        <f>SUM(G972:G973)</f>
        <v>0</v>
      </c>
      <c r="H974" s="884">
        <f t="shared" ref="H974:I974" si="24">SUM(H972:H973)</f>
        <v>0</v>
      </c>
      <c r="I974" s="890">
        <f t="shared" si="24"/>
        <v>0</v>
      </c>
    </row>
    <row r="975" spans="1:35" ht="60">
      <c r="A975" s="146" t="s">
        <v>16</v>
      </c>
      <c r="B975" s="147">
        <v>563</v>
      </c>
      <c r="C975" s="253" t="s">
        <v>39</v>
      </c>
      <c r="D975" s="147">
        <v>632310563</v>
      </c>
      <c r="E975" s="245" t="s">
        <v>743</v>
      </c>
      <c r="F975" s="202"/>
      <c r="G975" s="883"/>
      <c r="H975" s="879"/>
      <c r="I975" s="880"/>
    </row>
    <row r="976" spans="1:35" ht="60">
      <c r="A976" s="150" t="s">
        <v>16</v>
      </c>
      <c r="B976" s="151">
        <v>563</v>
      </c>
      <c r="C976" s="254" t="s">
        <v>39</v>
      </c>
      <c r="D976" s="151">
        <v>6323117006</v>
      </c>
      <c r="E976" s="245" t="s">
        <v>743</v>
      </c>
      <c r="F976" s="219"/>
      <c r="G976" s="883"/>
      <c r="H976" s="879"/>
      <c r="I976" s="880"/>
    </row>
    <row r="977" spans="1:9" ht="60">
      <c r="A977" s="150" t="s">
        <v>16</v>
      </c>
      <c r="B977" s="151">
        <v>563</v>
      </c>
      <c r="C977" s="254" t="s">
        <v>39</v>
      </c>
      <c r="D977" s="151">
        <v>632410563</v>
      </c>
      <c r="E977" s="245" t="s">
        <v>744</v>
      </c>
      <c r="F977" s="219"/>
      <c r="G977" s="883"/>
      <c r="H977" s="879"/>
      <c r="I977" s="880"/>
    </row>
    <row r="978" spans="1:9" ht="48">
      <c r="A978" s="150" t="s">
        <v>16</v>
      </c>
      <c r="B978" s="151">
        <v>563</v>
      </c>
      <c r="C978" s="254" t="s">
        <v>39</v>
      </c>
      <c r="D978" s="151">
        <v>6413</v>
      </c>
      <c r="E978" s="227" t="s">
        <v>748</v>
      </c>
      <c r="F978" s="219"/>
      <c r="G978" s="883"/>
      <c r="H978" s="879"/>
      <c r="I978" s="880"/>
    </row>
    <row r="979" spans="1:9" ht="48.75" thickBot="1">
      <c r="A979" s="154" t="s">
        <v>16</v>
      </c>
      <c r="B979" s="155">
        <v>563</v>
      </c>
      <c r="C979" s="255" t="s">
        <v>39</v>
      </c>
      <c r="D979" s="155">
        <v>6415</v>
      </c>
      <c r="E979" s="228" t="s">
        <v>717</v>
      </c>
      <c r="F979" s="220"/>
      <c r="G979" s="883"/>
      <c r="H979" s="879"/>
      <c r="I979" s="880"/>
    </row>
    <row r="980" spans="1:9" ht="36.75" thickBot="1">
      <c r="A980" s="173" t="s">
        <v>16</v>
      </c>
      <c r="B980" s="174">
        <v>563</v>
      </c>
      <c r="C980" s="261" t="s">
        <v>39</v>
      </c>
      <c r="D980" s="174"/>
      <c r="E980" s="241" t="s">
        <v>692</v>
      </c>
      <c r="F980" s="217"/>
      <c r="G980" s="904">
        <f t="shared" ref="G980:I980" si="25">SUM(G975:G979)</f>
        <v>0</v>
      </c>
      <c r="H980" s="905">
        <f t="shared" si="25"/>
        <v>0</v>
      </c>
      <c r="I980" s="906">
        <f t="shared" si="25"/>
        <v>0</v>
      </c>
    </row>
    <row r="981" spans="1:9" ht="24" customHeight="1" thickBot="1">
      <c r="A981" s="176" t="s">
        <v>16</v>
      </c>
      <c r="B981" s="177"/>
      <c r="C981" s="262" t="s">
        <v>16</v>
      </c>
      <c r="D981" s="177"/>
      <c r="E981" s="242" t="s">
        <v>688</v>
      </c>
      <c r="F981" s="222"/>
      <c r="G981" s="909">
        <f>G922+G923+G930+G939+G942+G953+G961+G968+G974+G980+G962+G971</f>
        <v>53058658</v>
      </c>
      <c r="H981" s="910">
        <f>H922+H923+H930+H939+H942+H953+H961+H968+H974+H980+H962+H971</f>
        <v>47068506.770000003</v>
      </c>
      <c r="I981" s="911">
        <f>I922+I923+I930+I939+I942+I953+I961+I968+I974+I980+I962+I971</f>
        <v>58571987</v>
      </c>
    </row>
    <row r="982" spans="1:9" ht="12.75" thickBot="1">
      <c r="A982" s="925"/>
      <c r="B982" s="926"/>
      <c r="C982" s="926"/>
      <c r="D982" s="926"/>
      <c r="E982" s="926"/>
      <c r="F982" s="926"/>
      <c r="G982" s="926"/>
      <c r="H982" s="926"/>
      <c r="I982" s="927"/>
    </row>
    <row r="983" spans="1:9" ht="12.75" thickBot="1">
      <c r="A983" s="925" t="s">
        <v>15</v>
      </c>
      <c r="B983" s="926"/>
      <c r="C983" s="926"/>
      <c r="D983" s="926"/>
      <c r="E983" s="926"/>
      <c r="F983" s="926"/>
      <c r="G983" s="926"/>
      <c r="H983" s="926"/>
      <c r="I983" s="927"/>
    </row>
    <row r="984" spans="1:9" ht="24">
      <c r="A984" s="179" t="s">
        <v>16</v>
      </c>
      <c r="B984" s="180"/>
      <c r="C984" s="264"/>
      <c r="D984" s="180"/>
      <c r="E984" s="246" t="s">
        <v>699</v>
      </c>
      <c r="F984" s="272"/>
      <c r="G984" s="275">
        <f>G981</f>
        <v>53058658</v>
      </c>
      <c r="H984" s="181">
        <f t="shared" ref="H984" si="26">H981</f>
        <v>47068506.770000003</v>
      </c>
      <c r="I984" s="182">
        <f>I981</f>
        <v>58571987</v>
      </c>
    </row>
    <row r="985" spans="1:9" ht="24">
      <c r="A985" s="183" t="s">
        <v>49</v>
      </c>
      <c r="B985" s="184"/>
      <c r="C985" s="265"/>
      <c r="D985" s="184"/>
      <c r="E985" s="247" t="s">
        <v>700</v>
      </c>
      <c r="F985" s="273"/>
      <c r="G985" s="276">
        <f>G919</f>
        <v>51947457</v>
      </c>
      <c r="H985" s="185">
        <f>H919</f>
        <v>52448841.359999992</v>
      </c>
      <c r="I985" s="186">
        <f>I919</f>
        <v>58870757</v>
      </c>
    </row>
    <row r="986" spans="1:9">
      <c r="A986" s="187" t="s">
        <v>701</v>
      </c>
      <c r="B986" s="184"/>
      <c r="C986" s="265"/>
      <c r="D986" s="184"/>
      <c r="E986" s="247" t="s">
        <v>701</v>
      </c>
      <c r="F986" s="273"/>
      <c r="G986" s="276">
        <f>G984-G985</f>
        <v>1111201</v>
      </c>
      <c r="H986" s="185">
        <f t="shared" ref="H986:I986" si="27">H984-H985</f>
        <v>-5380334.5899999887</v>
      </c>
      <c r="I986" s="186">
        <f t="shared" si="27"/>
        <v>-298770</v>
      </c>
    </row>
    <row r="987" spans="1:9">
      <c r="A987" s="187" t="s">
        <v>8</v>
      </c>
      <c r="B987" s="184"/>
      <c r="C987" s="265"/>
      <c r="D987" s="184"/>
      <c r="E987" s="247" t="s">
        <v>8</v>
      </c>
      <c r="F987" s="273"/>
      <c r="G987" s="90">
        <v>4300000</v>
      </c>
      <c r="H987" s="185">
        <v>6421504</v>
      </c>
      <c r="I987" s="186">
        <f>'prihodi i primici'!C5</f>
        <v>6421504</v>
      </c>
    </row>
    <row r="988" spans="1:9" ht="48">
      <c r="A988" s="187" t="s">
        <v>10</v>
      </c>
      <c r="B988" s="184"/>
      <c r="C988" s="265"/>
      <c r="D988" s="184"/>
      <c r="E988" s="247" t="s">
        <v>766</v>
      </c>
      <c r="F988" s="273"/>
      <c r="G988" s="278">
        <v>-5411201</v>
      </c>
      <c r="H988" s="185">
        <v>-1041169</v>
      </c>
      <c r="I988" s="186">
        <v>-6122734</v>
      </c>
    </row>
    <row r="989" spans="1:9" ht="12.75" thickBot="1">
      <c r="A989" s="188" t="s">
        <v>702</v>
      </c>
      <c r="B989" s="189"/>
      <c r="C989" s="266"/>
      <c r="D989" s="189"/>
      <c r="E989" s="248" t="s">
        <v>702</v>
      </c>
      <c r="F989" s="274"/>
      <c r="G989" s="277">
        <f>G986+G987+G988</f>
        <v>0</v>
      </c>
      <c r="H989" s="190">
        <f t="shared" ref="H989" si="28">H986+H987+H988</f>
        <v>0.41000001132488251</v>
      </c>
      <c r="I989" s="191">
        <f>I986+I987+I988</f>
        <v>0</v>
      </c>
    </row>
    <row r="991" spans="1:9" ht="15.75" customHeight="1">
      <c r="A991" s="919" t="s">
        <v>823</v>
      </c>
      <c r="B991" s="919"/>
      <c r="C991" s="919"/>
      <c r="D991" s="919"/>
      <c r="E991" s="919"/>
      <c r="F991" s="919"/>
      <c r="G991" s="919"/>
      <c r="H991" s="919"/>
      <c r="I991" s="919"/>
    </row>
    <row r="992" spans="1:9">
      <c r="A992" s="919"/>
      <c r="B992" s="919"/>
      <c r="C992" s="919"/>
      <c r="D992" s="919"/>
      <c r="E992" s="919"/>
      <c r="F992" s="919"/>
      <c r="G992" s="919"/>
      <c r="H992" s="919"/>
      <c r="I992" s="919"/>
    </row>
    <row r="995" spans="1:13" ht="72">
      <c r="A995" s="866" t="s">
        <v>16</v>
      </c>
      <c r="B995" s="867">
        <v>71</v>
      </c>
      <c r="C995" s="868" t="s">
        <v>47</v>
      </c>
      <c r="D995" s="867">
        <v>7227</v>
      </c>
      <c r="E995" s="869" t="s">
        <v>836</v>
      </c>
      <c r="F995" s="870" t="s">
        <v>686</v>
      </c>
      <c r="G995" s="871"/>
      <c r="H995" s="872">
        <v>5000</v>
      </c>
      <c r="I995" s="912">
        <v>105000</v>
      </c>
      <c r="M995" s="161"/>
    </row>
    <row r="996" spans="1:13" ht="24">
      <c r="A996" s="873" t="s">
        <v>49</v>
      </c>
      <c r="B996" s="867">
        <v>11</v>
      </c>
      <c r="C996" s="874" t="s">
        <v>19</v>
      </c>
      <c r="D996" s="867">
        <v>3111</v>
      </c>
      <c r="E996" s="869" t="s">
        <v>50</v>
      </c>
      <c r="F996" s="870" t="s">
        <v>838</v>
      </c>
      <c r="G996" s="872"/>
      <c r="H996" s="872">
        <v>565230.03</v>
      </c>
      <c r="I996" s="872">
        <v>596000</v>
      </c>
    </row>
    <row r="997" spans="1:13" ht="48">
      <c r="A997" s="875" t="s">
        <v>49</v>
      </c>
      <c r="B997" s="867">
        <v>11</v>
      </c>
      <c r="C997" s="874" t="s">
        <v>19</v>
      </c>
      <c r="D997" s="867">
        <v>3132</v>
      </c>
      <c r="E997" s="869" t="s">
        <v>52</v>
      </c>
      <c r="F997" s="870" t="s">
        <v>838</v>
      </c>
      <c r="G997" s="872"/>
      <c r="H997" s="872">
        <v>102795.76</v>
      </c>
      <c r="I997" s="872">
        <v>108000</v>
      </c>
    </row>
    <row r="998" spans="1:13" ht="24">
      <c r="A998" s="875" t="s">
        <v>49</v>
      </c>
      <c r="B998" s="867">
        <v>11</v>
      </c>
      <c r="C998" s="868" t="s">
        <v>19</v>
      </c>
      <c r="D998" s="867">
        <v>3295</v>
      </c>
      <c r="E998" s="869" t="s">
        <v>55</v>
      </c>
      <c r="F998" s="870" t="s">
        <v>838</v>
      </c>
      <c r="G998" s="872"/>
      <c r="H998" s="872">
        <v>170722.57</v>
      </c>
      <c r="I998" s="872">
        <v>182000</v>
      </c>
    </row>
    <row r="999" spans="1:13" ht="96">
      <c r="A999" s="866" t="s">
        <v>16</v>
      </c>
      <c r="B999" s="867">
        <v>11</v>
      </c>
      <c r="C999" s="868" t="s">
        <v>19</v>
      </c>
      <c r="D999" s="867">
        <v>6711</v>
      </c>
      <c r="E999" s="869" t="s">
        <v>20</v>
      </c>
      <c r="F999" s="870" t="s">
        <v>838</v>
      </c>
      <c r="G999" s="872"/>
      <c r="H999" s="872">
        <v>387558.47</v>
      </c>
      <c r="I999" s="872">
        <v>886000</v>
      </c>
    </row>
    <row r="1000" spans="1:13" ht="36">
      <c r="A1000" s="866" t="s">
        <v>49</v>
      </c>
      <c r="B1000" s="867">
        <v>61</v>
      </c>
      <c r="C1000" s="868" t="s">
        <v>40</v>
      </c>
      <c r="D1000" s="867">
        <v>3811</v>
      </c>
      <c r="E1000" s="869" t="s">
        <v>839</v>
      </c>
      <c r="F1000" s="870" t="s">
        <v>686</v>
      </c>
      <c r="G1000" s="872"/>
      <c r="H1000" s="872">
        <v>29312.33</v>
      </c>
      <c r="I1000" s="872">
        <v>29312</v>
      </c>
    </row>
    <row r="1018" spans="5:5">
      <c r="E1018" s="249"/>
    </row>
  </sheetData>
  <sheetProtection formatCells="0" formatColumns="0" formatRows="0" insertColumns="0" insertRows="0" insertHyperlinks="0" deleteColumns="0" deleteRows="0" sort="0" autoFilter="0" pivotTables="0"/>
  <mergeCells count="6">
    <mergeCell ref="A991:I992"/>
    <mergeCell ref="H4:I4"/>
    <mergeCell ref="A3:G3"/>
    <mergeCell ref="A1:G1"/>
    <mergeCell ref="A983:I983"/>
    <mergeCell ref="A982:I982"/>
  </mergeCells>
  <dataValidations count="1">
    <dataValidation type="whole" allowBlank="1" showInputMessage="1" showErrorMessage="1" errorTitle="GREŠKA" error="U ovo polje je dozvoljen unos samo brojčanih vrijednosti (bez decimala!)" sqref="G705:G772 G929 H917:I917 H848:I848 G302:G369 G972:G973 G555:G558 G215:G220 G516:G518 G629:G696 G418:G440 G292:G300 G76:G81 G975:G979 G130:G152 G284:G289 G520:G548 G551:G553 G560:G627 G698:G702 G774:G778 G965:G967 G449:G509 G940:G941 G954:G960 G951:G952 G969:G970 G780:G917 G61:G65 G73:G74 G87:G91 G93 G97 G125:G128 G157 G159 G161 G182:G183 G191:G204 G213 G391:G411 G413 G281 G225 G227 G229 G250:G251 G259:G272 G444:G447 G924:G926 G931:G932 G943:G946 G963 G935 G937:G938" xr:uid="{00000000-0002-0000-0100-000000000000}">
      <formula1>0</formula1>
      <formula2>10000000000</formula2>
    </dataValidation>
  </dataValidations>
  <pageMargins left="0.23622047244094491" right="0.23622047244094491" top="0.31496062992125984" bottom="0.27559055118110237" header="0.31496062992125984" footer="0.31496062992125984"/>
  <pageSetup paperSize="9" scale="80" fitToWidth="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9"/>
  <sheetViews>
    <sheetView topLeftCell="A4" zoomScaleNormal="100" workbookViewId="0">
      <selection activeCell="R8" sqref="R8"/>
    </sheetView>
  </sheetViews>
  <sheetFormatPr defaultRowHeight="11.25"/>
  <cols>
    <col min="1" max="1" width="4.85546875" style="95" customWidth="1"/>
    <col min="2" max="2" width="30.140625" style="95" customWidth="1"/>
    <col min="3" max="3" width="14.85546875" style="95" customWidth="1"/>
    <col min="4" max="4" width="13.85546875" style="95" customWidth="1"/>
    <col min="5" max="5" width="11.7109375" style="95" customWidth="1"/>
    <col min="6" max="9" width="13.85546875" style="95" customWidth="1"/>
    <col min="10" max="10" width="10.85546875" style="95" customWidth="1"/>
    <col min="11" max="12" width="13.85546875" style="95" customWidth="1"/>
    <col min="13" max="13" width="11.5703125" style="95" customWidth="1"/>
    <col min="14" max="14" width="11" style="95" customWidth="1"/>
    <col min="15" max="15" width="12.7109375" style="95" customWidth="1"/>
    <col min="16" max="16" width="11.5703125" style="95" customWidth="1"/>
    <col min="17" max="17" width="10.5703125" style="93" customWidth="1"/>
    <col min="18" max="18" width="9.5703125" style="94" customWidth="1"/>
    <col min="19" max="19" width="9.5703125" style="317" bestFit="1" customWidth="1"/>
    <col min="20" max="16384" width="9.140625" style="95"/>
  </cols>
  <sheetData>
    <row r="1" spans="1:22" ht="21" customHeight="1">
      <c r="A1" s="930" t="s">
        <v>829</v>
      </c>
      <c r="B1" s="930"/>
      <c r="C1" s="930"/>
      <c r="D1" s="930"/>
      <c r="E1" s="930"/>
      <c r="F1" s="930"/>
      <c r="G1" s="930"/>
      <c r="H1" s="930"/>
      <c r="I1" s="930"/>
      <c r="J1" s="930"/>
      <c r="K1" s="930"/>
      <c r="L1" s="930"/>
      <c r="M1" s="930"/>
      <c r="N1" s="930"/>
      <c r="O1" s="930"/>
      <c r="P1" s="930"/>
    </row>
    <row r="2" spans="1:22" ht="12" thickBot="1">
      <c r="A2" s="96"/>
      <c r="B2" s="96"/>
      <c r="C2" s="96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8"/>
      <c r="S2" s="98" t="s">
        <v>789</v>
      </c>
    </row>
    <row r="3" spans="1:22" ht="15.75" customHeight="1" thickBot="1">
      <c r="A3" s="931" t="s">
        <v>99</v>
      </c>
      <c r="B3" s="932"/>
      <c r="C3" s="935" t="s">
        <v>834</v>
      </c>
      <c r="D3" s="936"/>
      <c r="E3" s="936"/>
      <c r="F3" s="936"/>
      <c r="G3" s="936"/>
      <c r="H3" s="936"/>
      <c r="I3" s="936"/>
      <c r="J3" s="936"/>
      <c r="K3" s="936"/>
      <c r="L3" s="936"/>
      <c r="M3" s="936"/>
      <c r="N3" s="936"/>
      <c r="O3" s="936"/>
      <c r="P3" s="936"/>
      <c r="Q3" s="936"/>
      <c r="R3" s="937"/>
      <c r="S3" s="928" t="s">
        <v>614</v>
      </c>
    </row>
    <row r="4" spans="1:22" ht="68.25" thickBot="1">
      <c r="A4" s="99" t="s">
        <v>100</v>
      </c>
      <c r="B4" s="286" t="s">
        <v>101</v>
      </c>
      <c r="C4" s="367" t="s">
        <v>830</v>
      </c>
      <c r="D4" s="368" t="s">
        <v>102</v>
      </c>
      <c r="E4" s="369" t="s">
        <v>103</v>
      </c>
      <c r="F4" s="370" t="s">
        <v>104</v>
      </c>
      <c r="G4" s="370" t="s">
        <v>105</v>
      </c>
      <c r="H4" s="370" t="s">
        <v>106</v>
      </c>
      <c r="I4" s="370" t="s">
        <v>107</v>
      </c>
      <c r="J4" s="370" t="s">
        <v>108</v>
      </c>
      <c r="K4" s="370" t="s">
        <v>109</v>
      </c>
      <c r="L4" s="370" t="s">
        <v>110</v>
      </c>
      <c r="M4" s="370" t="s">
        <v>111</v>
      </c>
      <c r="N4" s="370" t="s">
        <v>112</v>
      </c>
      <c r="O4" s="370" t="s">
        <v>113</v>
      </c>
      <c r="P4" s="371" t="s">
        <v>611</v>
      </c>
      <c r="Q4" s="372" t="s">
        <v>831</v>
      </c>
      <c r="R4" s="366" t="s">
        <v>821</v>
      </c>
      <c r="S4" s="929"/>
      <c r="T4" s="316"/>
      <c r="U4" s="101"/>
    </row>
    <row r="5" spans="1:22" ht="12.75">
      <c r="A5" s="102"/>
      <c r="B5" s="287" t="s">
        <v>8</v>
      </c>
      <c r="C5" s="307">
        <f t="shared" ref="C5:C37" si="0">SUM(D5:P5)</f>
        <v>6421504</v>
      </c>
      <c r="D5" s="297"/>
      <c r="E5" s="103"/>
      <c r="F5" s="913">
        <v>2635753</v>
      </c>
      <c r="G5" s="913">
        <v>2279853</v>
      </c>
      <c r="H5" s="913">
        <v>9597</v>
      </c>
      <c r="I5" s="913">
        <v>1450703</v>
      </c>
      <c r="J5" s="913"/>
      <c r="K5" s="103"/>
      <c r="L5" s="103"/>
      <c r="M5" s="103">
        <v>40174</v>
      </c>
      <c r="N5" s="103"/>
      <c r="O5" s="103">
        <v>5424</v>
      </c>
      <c r="P5" s="104"/>
      <c r="Q5" s="283"/>
      <c r="R5" s="283">
        <v>5356022</v>
      </c>
      <c r="S5" s="318" t="e">
        <f>C5/Q5*100</f>
        <v>#DIV/0!</v>
      </c>
    </row>
    <row r="6" spans="1:22" s="108" customFormat="1">
      <c r="A6" s="105"/>
      <c r="B6" s="288" t="s">
        <v>114</v>
      </c>
      <c r="C6" s="307">
        <f t="shared" si="0"/>
        <v>58601299</v>
      </c>
      <c r="D6" s="298">
        <f t="shared" ref="D6:G6" si="1">+D26+D33</f>
        <v>48160000</v>
      </c>
      <c r="E6" s="106">
        <f t="shared" si="1"/>
        <v>0</v>
      </c>
      <c r="F6" s="106">
        <f t="shared" si="1"/>
        <v>5391145</v>
      </c>
      <c r="G6" s="106">
        <f t="shared" si="1"/>
        <v>1856000</v>
      </c>
      <c r="H6" s="106">
        <f>+H26+H33+H36</f>
        <v>53242</v>
      </c>
      <c r="I6" s="106">
        <f t="shared" ref="I6:P6" si="2">+I26+I33+I36</f>
        <v>3000000</v>
      </c>
      <c r="J6" s="106">
        <f t="shared" si="2"/>
        <v>0</v>
      </c>
      <c r="K6" s="106">
        <f t="shared" si="2"/>
        <v>0</v>
      </c>
      <c r="L6" s="106">
        <f t="shared" si="2"/>
        <v>0</v>
      </c>
      <c r="M6" s="106">
        <f t="shared" si="2"/>
        <v>31912</v>
      </c>
      <c r="N6" s="106">
        <f t="shared" si="2"/>
        <v>0</v>
      </c>
      <c r="O6" s="106">
        <f t="shared" si="2"/>
        <v>109000</v>
      </c>
      <c r="P6" s="107">
        <f t="shared" si="2"/>
        <v>0</v>
      </c>
      <c r="Q6" s="319">
        <f>Q26+Q33+Q36</f>
        <v>53058658</v>
      </c>
      <c r="R6" s="319">
        <f>R26+R33+R36</f>
        <v>47063506.770000003</v>
      </c>
      <c r="S6" s="328">
        <f t="shared" ref="S6:S37" si="3">C6/Q6*100</f>
        <v>110.44625176912692</v>
      </c>
      <c r="U6" s="109"/>
    </row>
    <row r="7" spans="1:22">
      <c r="A7" s="102"/>
      <c r="B7" s="287" t="s">
        <v>731</v>
      </c>
      <c r="C7" s="307">
        <f t="shared" si="0"/>
        <v>-6181358</v>
      </c>
      <c r="D7" s="299"/>
      <c r="E7" s="110"/>
      <c r="F7" s="110">
        <v>-3613619</v>
      </c>
      <c r="G7" s="110">
        <v>-1843403</v>
      </c>
      <c r="H7" s="110"/>
      <c r="I7" s="110">
        <v>-662708</v>
      </c>
      <c r="J7" s="103">
        <v>0</v>
      </c>
      <c r="K7" s="110"/>
      <c r="L7" s="110"/>
      <c r="M7" s="110">
        <v>-61628</v>
      </c>
      <c r="N7" s="110"/>
      <c r="O7" s="110"/>
      <c r="P7" s="111"/>
      <c r="Q7" s="284">
        <v>-1111201</v>
      </c>
      <c r="R7" s="365"/>
      <c r="S7" s="320">
        <f t="shared" si="3"/>
        <v>556.27721717313068</v>
      </c>
    </row>
    <row r="8" spans="1:22" s="108" customFormat="1">
      <c r="A8" s="105"/>
      <c r="B8" s="288" t="s">
        <v>115</v>
      </c>
      <c r="C8" s="307">
        <f t="shared" si="0"/>
        <v>58841445</v>
      </c>
      <c r="D8" s="298">
        <f>+D5+D6+D7</f>
        <v>48160000</v>
      </c>
      <c r="E8" s="106">
        <f t="shared" ref="E8:P8" si="4">+E5+E6+E7</f>
        <v>0</v>
      </c>
      <c r="F8" s="106">
        <f t="shared" si="4"/>
        <v>4413279</v>
      </c>
      <c r="G8" s="106">
        <f t="shared" si="4"/>
        <v>2292450</v>
      </c>
      <c r="H8" s="106">
        <f t="shared" si="4"/>
        <v>62839</v>
      </c>
      <c r="I8" s="106">
        <f t="shared" si="4"/>
        <v>3787995</v>
      </c>
      <c r="J8" s="106">
        <f t="shared" si="4"/>
        <v>0</v>
      </c>
      <c r="K8" s="106">
        <f t="shared" si="4"/>
        <v>0</v>
      </c>
      <c r="L8" s="106">
        <f t="shared" si="4"/>
        <v>0</v>
      </c>
      <c r="M8" s="106">
        <f t="shared" si="4"/>
        <v>10458</v>
      </c>
      <c r="N8" s="106">
        <f t="shared" si="4"/>
        <v>0</v>
      </c>
      <c r="O8" s="106">
        <f t="shared" si="4"/>
        <v>114424</v>
      </c>
      <c r="P8" s="107">
        <f t="shared" si="4"/>
        <v>0</v>
      </c>
      <c r="Q8" s="319">
        <f t="shared" ref="Q8:R8" si="5">+Q5+Q6+Q7</f>
        <v>51947457</v>
      </c>
      <c r="R8" s="319">
        <f t="shared" si="5"/>
        <v>52419528.770000003</v>
      </c>
      <c r="S8" s="326">
        <f t="shared" si="3"/>
        <v>113.27107889034875</v>
      </c>
      <c r="V8" s="112"/>
    </row>
    <row r="9" spans="1:22" ht="12" thickBot="1">
      <c r="A9" s="113"/>
      <c r="B9" s="289" t="s">
        <v>49</v>
      </c>
      <c r="C9" s="308">
        <f t="shared" si="0"/>
        <v>58841445</v>
      </c>
      <c r="D9" s="300">
        <f>'rashodi i izdaci'!D3</f>
        <v>48160000</v>
      </c>
      <c r="E9" s="114">
        <f>'rashodi i izdaci'!E3</f>
        <v>0</v>
      </c>
      <c r="F9" s="114">
        <f>'rashodi i izdaci'!F3</f>
        <v>4413279</v>
      </c>
      <c r="G9" s="114">
        <f>'rashodi i izdaci'!G3</f>
        <v>2292450</v>
      </c>
      <c r="H9" s="114">
        <f>'rashodi i izdaci'!H3</f>
        <v>62839</v>
      </c>
      <c r="I9" s="114">
        <f>'rashodi i izdaci'!I3</f>
        <v>3787995</v>
      </c>
      <c r="J9" s="114">
        <f>+'[1]PLAN RASHODA I IZDATAKA'!J3</f>
        <v>0</v>
      </c>
      <c r="K9" s="114">
        <f>'rashodi i izdaci'!K3</f>
        <v>0</v>
      </c>
      <c r="L9" s="114">
        <f>'rashodi i izdaci'!L3</f>
        <v>0</v>
      </c>
      <c r="M9" s="114">
        <f>'rashodi i izdaci'!M3</f>
        <v>10458</v>
      </c>
      <c r="N9" s="114">
        <f>'rashodi i izdaci'!N3</f>
        <v>0</v>
      </c>
      <c r="O9" s="114">
        <f>'rashodi i izdaci'!O3</f>
        <v>114424</v>
      </c>
      <c r="P9" s="115">
        <f>+'[1]PLAN RASHODA I IZDATAKA'!P3</f>
        <v>0</v>
      </c>
      <c r="Q9" s="323">
        <f>'rashodi i izdaci'!Q3</f>
        <v>51947457</v>
      </c>
      <c r="R9" s="323">
        <f>'rashodi i izdaci'!R3</f>
        <v>52419529.030000001</v>
      </c>
      <c r="S9" s="327">
        <f t="shared" si="3"/>
        <v>113.27107889034875</v>
      </c>
    </row>
    <row r="10" spans="1:22" s="108" customFormat="1" ht="12" thickBot="1">
      <c r="A10" s="116"/>
      <c r="B10" s="290" t="s">
        <v>15</v>
      </c>
      <c r="C10" s="309">
        <f t="shared" si="0"/>
        <v>0</v>
      </c>
      <c r="D10" s="301">
        <f>+D8-D9</f>
        <v>0</v>
      </c>
      <c r="E10" s="117">
        <f t="shared" ref="E10:P10" si="6">+E8-E9</f>
        <v>0</v>
      </c>
      <c r="F10" s="117">
        <f t="shared" si="6"/>
        <v>0</v>
      </c>
      <c r="G10" s="117">
        <f t="shared" si="6"/>
        <v>0</v>
      </c>
      <c r="H10" s="117">
        <f t="shared" si="6"/>
        <v>0</v>
      </c>
      <c r="I10" s="117">
        <f t="shared" si="6"/>
        <v>0</v>
      </c>
      <c r="J10" s="117">
        <f t="shared" si="6"/>
        <v>0</v>
      </c>
      <c r="K10" s="117">
        <f t="shared" si="6"/>
        <v>0</v>
      </c>
      <c r="L10" s="117">
        <f t="shared" si="6"/>
        <v>0</v>
      </c>
      <c r="M10" s="117">
        <f t="shared" si="6"/>
        <v>0</v>
      </c>
      <c r="N10" s="117">
        <f t="shared" si="6"/>
        <v>0</v>
      </c>
      <c r="O10" s="117">
        <f t="shared" si="6"/>
        <v>0</v>
      </c>
      <c r="P10" s="118">
        <f t="shared" si="6"/>
        <v>0</v>
      </c>
      <c r="Q10" s="325">
        <f t="shared" ref="Q10:R10" si="7">+Q8-Q9</f>
        <v>0</v>
      </c>
      <c r="R10" s="325">
        <f t="shared" si="7"/>
        <v>-0.25999999791383743</v>
      </c>
      <c r="S10" s="330" t="e">
        <f t="shared" si="3"/>
        <v>#DIV/0!</v>
      </c>
    </row>
    <row r="11" spans="1:22">
      <c r="A11" s="119" t="s">
        <v>116</v>
      </c>
      <c r="B11" s="291" t="s">
        <v>117</v>
      </c>
      <c r="C11" s="310">
        <f t="shared" si="0"/>
        <v>0</v>
      </c>
      <c r="D11" s="302"/>
      <c r="E11" s="120"/>
      <c r="F11" s="120"/>
      <c r="G11" s="120"/>
      <c r="H11" s="120"/>
      <c r="I11" s="120">
        <f>'Plan za unos u SAP'!I943</f>
        <v>0</v>
      </c>
      <c r="J11" s="120"/>
      <c r="K11" s="120"/>
      <c r="L11" s="120"/>
      <c r="M11" s="120"/>
      <c r="N11" s="120"/>
      <c r="O11" s="120"/>
      <c r="P11" s="121"/>
      <c r="Q11" s="285">
        <f>'Plan za unos u SAP'!G943</f>
        <v>0</v>
      </c>
      <c r="R11" s="285">
        <f>'Plan za unos u SAP'!H943</f>
        <v>0</v>
      </c>
      <c r="S11" s="324" t="e">
        <f t="shared" si="3"/>
        <v>#DIV/0!</v>
      </c>
    </row>
    <row r="12" spans="1:22" ht="22.5">
      <c r="A12" s="102" t="s">
        <v>118</v>
      </c>
      <c r="B12" s="287" t="s">
        <v>119</v>
      </c>
      <c r="C12" s="307">
        <f t="shared" si="0"/>
        <v>53242</v>
      </c>
      <c r="D12" s="302"/>
      <c r="E12" s="120"/>
      <c r="F12" s="120"/>
      <c r="G12" s="120"/>
      <c r="H12" s="120">
        <f>'Plan za unos u SAP'!I940+'Plan za unos u SAP'!I941</f>
        <v>53242</v>
      </c>
      <c r="I12" s="120"/>
      <c r="J12" s="120"/>
      <c r="K12" s="120">
        <f>'Plan za unos u SAP'!I972+'Plan za unos u SAP'!I973</f>
        <v>0</v>
      </c>
      <c r="L12" s="120">
        <f>'Plan za unos u SAP'!I975+'Plan za unos u SAP'!I976+'Plan za unos u SAP'!I977</f>
        <v>0</v>
      </c>
      <c r="M12" s="120"/>
      <c r="N12" s="120"/>
      <c r="O12" s="120"/>
      <c r="P12" s="121"/>
      <c r="Q12" s="284">
        <f>'Plan za unos u SAP'!G940+'Plan za unos u SAP'!G941+'Plan za unos u SAP'!G972+'Plan za unos u SAP'!G973+'Plan za unos u SAP'!G975+'Plan za unos u SAP'!G976+'Plan za unos u SAP'!G977</f>
        <v>0</v>
      </c>
      <c r="R12" s="284">
        <f>'Plan za unos u SAP'!H940+'Plan za unos u SAP'!H941+'Plan za unos u SAP'!H972+'Plan za unos u SAP'!H973+'Plan za unos u SAP'!H975+'Plan za unos u SAP'!H976+'Plan za unos u SAP'!H977</f>
        <v>24078</v>
      </c>
      <c r="S12" s="320" t="e">
        <f t="shared" si="3"/>
        <v>#DIV/0!</v>
      </c>
    </row>
    <row r="13" spans="1:22">
      <c r="A13" s="102" t="s">
        <v>120</v>
      </c>
      <c r="B13" s="287" t="s">
        <v>121</v>
      </c>
      <c r="C13" s="307">
        <f t="shared" si="0"/>
        <v>0</v>
      </c>
      <c r="D13" s="302"/>
      <c r="E13" s="120"/>
      <c r="F13" s="120"/>
      <c r="G13" s="120"/>
      <c r="H13" s="120"/>
      <c r="I13" s="120">
        <f>'Plan za unos u SAP'!I944</f>
        <v>0</v>
      </c>
      <c r="J13" s="120"/>
      <c r="K13" s="120"/>
      <c r="L13" s="120"/>
      <c r="M13" s="120"/>
      <c r="N13" s="120"/>
      <c r="O13" s="120"/>
      <c r="P13" s="121"/>
      <c r="Q13" s="284">
        <f>'Plan za unos u SAP'!G944</f>
        <v>0</v>
      </c>
      <c r="R13" s="284">
        <f>'Plan za unos u SAP'!H944</f>
        <v>0</v>
      </c>
      <c r="S13" s="320" t="e">
        <f t="shared" si="3"/>
        <v>#DIV/0!</v>
      </c>
    </row>
    <row r="14" spans="1:22" ht="22.5">
      <c r="A14" s="122" t="s">
        <v>122</v>
      </c>
      <c r="B14" s="287" t="s">
        <v>123</v>
      </c>
      <c r="C14" s="307">
        <f t="shared" si="0"/>
        <v>650000</v>
      </c>
      <c r="D14" s="302"/>
      <c r="E14" s="120"/>
      <c r="F14" s="120"/>
      <c r="G14" s="120"/>
      <c r="H14" s="120"/>
      <c r="I14" s="120">
        <f>'Plan za unos u SAP'!I945+'Plan za unos u SAP'!I946</f>
        <v>650000</v>
      </c>
      <c r="J14" s="120"/>
      <c r="K14" s="120"/>
      <c r="L14" s="120"/>
      <c r="M14" s="120"/>
      <c r="N14" s="120"/>
      <c r="O14" s="120"/>
      <c r="P14" s="121"/>
      <c r="Q14" s="284">
        <f>'Plan za unos u SAP'!G945+'Plan za unos u SAP'!G946</f>
        <v>0</v>
      </c>
      <c r="R14" s="284">
        <f>'Plan za unos u SAP'!H945+'Plan za unos u SAP'!H946</f>
        <v>445604</v>
      </c>
      <c r="S14" s="320" t="e">
        <f t="shared" si="3"/>
        <v>#DIV/0!</v>
      </c>
    </row>
    <row r="15" spans="1:22">
      <c r="A15" s="102" t="s">
        <v>124</v>
      </c>
      <c r="B15" s="287" t="s">
        <v>125</v>
      </c>
      <c r="C15" s="307">
        <f t="shared" si="0"/>
        <v>0</v>
      </c>
      <c r="D15" s="302"/>
      <c r="E15" s="120"/>
      <c r="F15" s="120"/>
      <c r="G15" s="120"/>
      <c r="H15" s="120"/>
      <c r="I15" s="120">
        <f>'Plan za unos u SAP'!I947</f>
        <v>0</v>
      </c>
      <c r="J15" s="120"/>
      <c r="K15" s="120"/>
      <c r="L15" s="120"/>
      <c r="M15" s="120"/>
      <c r="N15" s="120"/>
      <c r="O15" s="120"/>
      <c r="P15" s="121"/>
      <c r="Q15" s="284">
        <f>'Plan za unos u SAP'!G947</f>
        <v>640415</v>
      </c>
      <c r="R15" s="284">
        <f>'Plan za unos u SAP'!H947</f>
        <v>0</v>
      </c>
      <c r="S15" s="320">
        <f t="shared" si="3"/>
        <v>0</v>
      </c>
    </row>
    <row r="16" spans="1:22" ht="22.5">
      <c r="A16" s="102" t="s">
        <v>126</v>
      </c>
      <c r="B16" s="287" t="s">
        <v>127</v>
      </c>
      <c r="C16" s="307">
        <f t="shared" si="0"/>
        <v>2350000</v>
      </c>
      <c r="D16" s="302"/>
      <c r="E16" s="120"/>
      <c r="F16" s="120"/>
      <c r="G16" s="120"/>
      <c r="H16" s="120"/>
      <c r="I16" s="120">
        <f>'Plan za unos u SAP'!I948+'Plan za unos u SAP'!I949+'Plan za unos u SAP'!I950+'Plan za unos u SAP'!I951</f>
        <v>2350000</v>
      </c>
      <c r="J16" s="120"/>
      <c r="K16" s="120"/>
      <c r="L16" s="120"/>
      <c r="M16" s="120"/>
      <c r="N16" s="120"/>
      <c r="O16" s="120"/>
      <c r="P16" s="121"/>
      <c r="Q16" s="284">
        <f>'Plan za unos u SAP'!G948+'Plan za unos u SAP'!G949+'Plan za unos u SAP'!G950+'Plan za unos u SAP'!G951</f>
        <v>344977</v>
      </c>
      <c r="R16" s="284">
        <f>'Plan za unos u SAP'!H948+'Plan za unos u SAP'!H949+'Plan za unos u SAP'!H950+'Plan za unos u SAP'!H951</f>
        <v>1580507</v>
      </c>
      <c r="S16" s="320">
        <f t="shared" si="3"/>
        <v>681.20483394545147</v>
      </c>
    </row>
    <row r="17" spans="1:19">
      <c r="A17" s="102" t="s">
        <v>128</v>
      </c>
      <c r="B17" s="287" t="s">
        <v>129</v>
      </c>
      <c r="C17" s="307">
        <f t="shared" si="0"/>
        <v>145</v>
      </c>
      <c r="D17" s="302"/>
      <c r="E17" s="120"/>
      <c r="F17" s="120">
        <f>'Plan za unos u SAP'!I924+'Plan za unos u SAP'!I925+'Plan za unos u SAP'!I926</f>
        <v>145</v>
      </c>
      <c r="G17" s="120">
        <f>'Plan za unos u SAP'!I931+'Plan za unos u SAP'!I932</f>
        <v>0</v>
      </c>
      <c r="H17" s="120"/>
      <c r="I17" s="120">
        <f>'Plan za unos u SAP'!I952</f>
        <v>0</v>
      </c>
      <c r="J17" s="120"/>
      <c r="K17" s="120"/>
      <c r="L17" s="120">
        <f>'Plan za unos u SAP'!I978+'Plan za unos u SAP'!I979</f>
        <v>0</v>
      </c>
      <c r="M17" s="120"/>
      <c r="N17" s="120"/>
      <c r="O17" s="120"/>
      <c r="P17" s="121"/>
      <c r="Q17" s="284">
        <f>'Plan za unos u SAP'!G924+'Plan za unos u SAP'!G925+'Plan za unos u SAP'!G926+'Plan za unos u SAP'!G931+'Plan za unos u SAP'!G932+'Plan za unos u SAP'!G952+'Plan za unos u SAP'!G978+'Plan za unos u SAP'!G979</f>
        <v>0</v>
      </c>
      <c r="R17" s="284">
        <f>'Plan za unos u SAP'!H924+'Plan za unos u SAP'!H925+'Plan za unos u SAP'!H926+'Plan za unos u SAP'!H931+'Plan za unos u SAP'!H932+'Plan za unos u SAP'!H952+'Plan za unos u SAP'!H978+'Plan za unos u SAP'!H979</f>
        <v>139</v>
      </c>
      <c r="S17" s="320" t="e">
        <f t="shared" si="3"/>
        <v>#DIV/0!</v>
      </c>
    </row>
    <row r="18" spans="1:19">
      <c r="A18" s="102" t="s">
        <v>130</v>
      </c>
      <c r="B18" s="287" t="s">
        <v>131</v>
      </c>
      <c r="C18" s="307">
        <f t="shared" si="0"/>
        <v>0</v>
      </c>
      <c r="D18" s="302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1"/>
      <c r="Q18" s="284"/>
      <c r="R18" s="284"/>
      <c r="S18" s="320" t="e">
        <f t="shared" si="3"/>
        <v>#DIV/0!</v>
      </c>
    </row>
    <row r="19" spans="1:19">
      <c r="A19" s="122" t="s">
        <v>612</v>
      </c>
      <c r="B19" s="287" t="s">
        <v>613</v>
      </c>
      <c r="C19" s="307">
        <f t="shared" si="0"/>
        <v>0</v>
      </c>
      <c r="D19" s="302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1"/>
      <c r="Q19" s="284"/>
      <c r="R19" s="284"/>
      <c r="S19" s="320" t="e">
        <f t="shared" si="3"/>
        <v>#DIV/0!</v>
      </c>
    </row>
    <row r="20" spans="1:19">
      <c r="A20" s="102" t="s">
        <v>132</v>
      </c>
      <c r="B20" s="287" t="s">
        <v>133</v>
      </c>
      <c r="C20" s="307">
        <f t="shared" si="0"/>
        <v>1850000</v>
      </c>
      <c r="D20" s="302"/>
      <c r="E20" s="120"/>
      <c r="F20" s="120"/>
      <c r="G20" s="120">
        <f>'Plan za unos u SAP'!I933+'Plan za unos u SAP'!I934+'Plan za unos u SAP'!I935+'Plan za unos u SAP'!I936+'Plan za unos u SAP'!I937</f>
        <v>1850000</v>
      </c>
      <c r="H20" s="120"/>
      <c r="I20" s="120"/>
      <c r="J20" s="120"/>
      <c r="K20" s="120"/>
      <c r="L20" s="120"/>
      <c r="M20" s="120"/>
      <c r="N20" s="120"/>
      <c r="O20" s="120"/>
      <c r="P20" s="121"/>
      <c r="Q20" s="284">
        <f>'Plan za unos u SAP'!G933+'Plan za unos u SAP'!G934+'Plan za unos u SAP'!G935+'Plan za unos u SAP'!G936+'Plan za unos u SAP'!G937</f>
        <v>2502052</v>
      </c>
      <c r="R20" s="284">
        <f>'Plan za unos u SAP'!H933+'Plan za unos u SAP'!H934+'Plan za unos u SAP'!H935+'Plan za unos u SAP'!H936+'Plan za unos u SAP'!H937</f>
        <v>1600925</v>
      </c>
      <c r="S20" s="320">
        <f t="shared" si="3"/>
        <v>73.93931061384815</v>
      </c>
    </row>
    <row r="21" spans="1:19" ht="22.5">
      <c r="A21" s="102" t="s">
        <v>134</v>
      </c>
      <c r="B21" s="287" t="s">
        <v>135</v>
      </c>
      <c r="C21" s="307">
        <f t="shared" si="0"/>
        <v>5391000</v>
      </c>
      <c r="D21" s="302"/>
      <c r="E21" s="120"/>
      <c r="F21" s="120">
        <f>'Plan za unos u SAP'!I927+'Plan za unos u SAP'!I928</f>
        <v>5391000</v>
      </c>
      <c r="G21" s="120"/>
      <c r="H21" s="120"/>
      <c r="I21" s="120"/>
      <c r="J21" s="120"/>
      <c r="K21" s="120"/>
      <c r="L21" s="120"/>
      <c r="M21" s="120"/>
      <c r="N21" s="120"/>
      <c r="O21" s="120"/>
      <c r="P21" s="121"/>
      <c r="Q21" s="284">
        <f>'Plan za unos u SAP'!G927+'Plan za unos u SAP'!G928</f>
        <v>5157500</v>
      </c>
      <c r="R21" s="284">
        <f>'Plan za unos u SAP'!H927+'Plan za unos u SAP'!H928</f>
        <v>4706249</v>
      </c>
      <c r="S21" s="320">
        <f t="shared" si="3"/>
        <v>104.52738730004847</v>
      </c>
    </row>
    <row r="22" spans="1:19" ht="22.5">
      <c r="A22" s="102" t="s">
        <v>136</v>
      </c>
      <c r="B22" s="287" t="s">
        <v>137</v>
      </c>
      <c r="C22" s="307">
        <f t="shared" si="0"/>
        <v>31912</v>
      </c>
      <c r="D22" s="303"/>
      <c r="E22" s="129"/>
      <c r="F22" s="129"/>
      <c r="G22" s="120"/>
      <c r="H22" s="120"/>
      <c r="I22" s="120"/>
      <c r="J22" s="120"/>
      <c r="K22" s="120"/>
      <c r="L22" s="120"/>
      <c r="M22" s="120">
        <f>'Plan za unos u SAP'!I954+'Plan za unos u SAP'!I955+'Plan za unos u SAP'!I956+'Plan za unos u SAP'!I957+'Plan za unos u SAP'!I958+'Plan za unos u SAP'!I959+'Plan za unos u SAP'!I960+'Plan za unos u SAP'!I1000</f>
        <v>31912</v>
      </c>
      <c r="N22" s="120">
        <f>'Plan za unos u SAP'!I962</f>
        <v>0</v>
      </c>
      <c r="O22" s="120"/>
      <c r="P22" s="121"/>
      <c r="Q22" s="284">
        <f>'Plan za unos u SAP'!G954+'Plan za unos u SAP'!G955+'Plan za unos u SAP'!G956+'Plan za unos u SAP'!G957+'Plan za unos u SAP'!G958+'Plan za unos u SAP'!G959+'Plan za unos u SAP'!G960+'Plan za unos u SAP'!G962</f>
        <v>0</v>
      </c>
      <c r="R22" s="284">
        <f>'Plan za unos u SAP'!H954+'Plan za unos u SAP'!H955+'Plan za unos u SAP'!H956+'Plan za unos u SAP'!H957+'Plan za unos u SAP'!H958+'Plan za unos u SAP'!H959+'Plan za unos u SAP'!H960+'Plan za unos u SAP'!H962</f>
        <v>2600</v>
      </c>
      <c r="S22" s="320" t="e">
        <f t="shared" si="3"/>
        <v>#DIV/0!</v>
      </c>
    </row>
    <row r="23" spans="1:19" ht="33.75">
      <c r="A23" s="102" t="s">
        <v>138</v>
      </c>
      <c r="B23" s="287" t="s">
        <v>20</v>
      </c>
      <c r="C23" s="307">
        <f t="shared" si="0"/>
        <v>48160000</v>
      </c>
      <c r="D23" s="304">
        <f>'Plan za unos u SAP'!I922</f>
        <v>48160000</v>
      </c>
      <c r="E23" s="130">
        <f>'Plan za unos u SAP'!I923</f>
        <v>0</v>
      </c>
      <c r="F23" s="129"/>
      <c r="G23" s="120"/>
      <c r="H23" s="120"/>
      <c r="I23" s="120"/>
      <c r="J23" s="120"/>
      <c r="K23" s="120"/>
      <c r="L23" s="120"/>
      <c r="M23" s="120"/>
      <c r="N23" s="120"/>
      <c r="O23" s="120"/>
      <c r="P23" s="121"/>
      <c r="Q23" s="284">
        <f>'Plan za unos u SAP'!G922+'Plan za unos u SAP'!G923</f>
        <v>44408714</v>
      </c>
      <c r="R23" s="284">
        <f>'Plan za unos u SAP'!H922+'Plan za unos u SAP'!H923</f>
        <v>38695368</v>
      </c>
      <c r="S23" s="320">
        <f t="shared" si="3"/>
        <v>108.44718448726076</v>
      </c>
    </row>
    <row r="24" spans="1:19">
      <c r="A24" s="102" t="s">
        <v>139</v>
      </c>
      <c r="B24" s="287" t="s">
        <v>140</v>
      </c>
      <c r="C24" s="307">
        <f t="shared" si="0"/>
        <v>0</v>
      </c>
      <c r="D24" s="302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1"/>
      <c r="Q24" s="284"/>
      <c r="R24" s="284"/>
      <c r="S24" s="320" t="e">
        <f t="shared" si="3"/>
        <v>#DIV/0!</v>
      </c>
    </row>
    <row r="25" spans="1:19">
      <c r="A25" s="102" t="s">
        <v>141</v>
      </c>
      <c r="B25" s="287" t="s">
        <v>142</v>
      </c>
      <c r="C25" s="307">
        <f t="shared" si="0"/>
        <v>6000</v>
      </c>
      <c r="D25" s="302"/>
      <c r="E25" s="120"/>
      <c r="F25" s="120">
        <f>'Plan za unos u SAP'!I929</f>
        <v>0</v>
      </c>
      <c r="G25" s="120">
        <f>'Plan za unos u SAP'!I938</f>
        <v>6000</v>
      </c>
      <c r="H25" s="120"/>
      <c r="I25" s="120"/>
      <c r="J25" s="120"/>
      <c r="K25" s="120"/>
      <c r="L25" s="120"/>
      <c r="M25" s="120"/>
      <c r="N25" s="120"/>
      <c r="O25" s="120"/>
      <c r="P25" s="121"/>
      <c r="Q25" s="284">
        <f>'Plan za unos u SAP'!G929+'Plan za unos u SAP'!G938</f>
        <v>0</v>
      </c>
      <c r="R25" s="284">
        <f>'Plan za unos u SAP'!H929+'Plan za unos u SAP'!H938</f>
        <v>5499.77</v>
      </c>
      <c r="S25" s="320" t="e">
        <f t="shared" si="3"/>
        <v>#DIV/0!</v>
      </c>
    </row>
    <row r="26" spans="1:19" s="108" customFormat="1">
      <c r="A26" s="123" t="s">
        <v>143</v>
      </c>
      <c r="B26" s="292" t="s">
        <v>144</v>
      </c>
      <c r="C26" s="307">
        <f t="shared" si="0"/>
        <v>58492299</v>
      </c>
      <c r="D26" s="305">
        <f t="shared" ref="D26:R26" si="8">SUM(D11:D25)</f>
        <v>48160000</v>
      </c>
      <c r="E26" s="124">
        <f t="shared" si="8"/>
        <v>0</v>
      </c>
      <c r="F26" s="124">
        <f t="shared" si="8"/>
        <v>5391145</v>
      </c>
      <c r="G26" s="124">
        <f t="shared" si="8"/>
        <v>1856000</v>
      </c>
      <c r="H26" s="124">
        <f t="shared" si="8"/>
        <v>53242</v>
      </c>
      <c r="I26" s="124">
        <f t="shared" si="8"/>
        <v>3000000</v>
      </c>
      <c r="J26" s="124">
        <f t="shared" si="8"/>
        <v>0</v>
      </c>
      <c r="K26" s="124">
        <f t="shared" si="8"/>
        <v>0</v>
      </c>
      <c r="L26" s="124">
        <f t="shared" si="8"/>
        <v>0</v>
      </c>
      <c r="M26" s="124">
        <f t="shared" si="8"/>
        <v>31912</v>
      </c>
      <c r="N26" s="124">
        <f t="shared" si="8"/>
        <v>0</v>
      </c>
      <c r="O26" s="124">
        <f t="shared" si="8"/>
        <v>0</v>
      </c>
      <c r="P26" s="125">
        <f t="shared" si="8"/>
        <v>0</v>
      </c>
      <c r="Q26" s="321">
        <f t="shared" si="8"/>
        <v>53053658</v>
      </c>
      <c r="R26" s="321">
        <f t="shared" si="8"/>
        <v>47060969.770000003</v>
      </c>
      <c r="S26" s="328">
        <f t="shared" si="3"/>
        <v>110.2512083144201</v>
      </c>
    </row>
    <row r="27" spans="1:19" ht="22.5">
      <c r="A27" s="102" t="s">
        <v>145</v>
      </c>
      <c r="B27" s="293" t="s">
        <v>146</v>
      </c>
      <c r="C27" s="307">
        <f t="shared" si="0"/>
        <v>0</v>
      </c>
      <c r="D27" s="302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>
        <f>'Plan za unos u SAP'!I963</f>
        <v>0</v>
      </c>
      <c r="P27" s="121"/>
      <c r="Q27" s="284">
        <f>'Plan za unos u SAP'!G963</f>
        <v>0</v>
      </c>
      <c r="R27" s="284">
        <f>'Plan za unos u SAP'!H963</f>
        <v>0</v>
      </c>
      <c r="S27" s="320" t="e">
        <f t="shared" si="3"/>
        <v>#DIV/0!</v>
      </c>
    </row>
    <row r="28" spans="1:19">
      <c r="A28" s="102" t="s">
        <v>147</v>
      </c>
      <c r="B28" s="293" t="s">
        <v>148</v>
      </c>
      <c r="C28" s="307">
        <f t="shared" si="0"/>
        <v>0</v>
      </c>
      <c r="D28" s="302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1"/>
      <c r="Q28" s="284"/>
      <c r="R28" s="284"/>
      <c r="S28" s="320" t="e">
        <f t="shared" si="3"/>
        <v>#DIV/0!</v>
      </c>
    </row>
    <row r="29" spans="1:19">
      <c r="A29" s="102" t="s">
        <v>149</v>
      </c>
      <c r="B29" s="293" t="s">
        <v>150</v>
      </c>
      <c r="C29" s="307">
        <f t="shared" si="0"/>
        <v>109000</v>
      </c>
      <c r="D29" s="302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>
        <f>'Plan za unos u SAP'!I964+'Plan za unos u SAP'!I965+'Plan za unos u SAP'!I995</f>
        <v>109000</v>
      </c>
      <c r="P29" s="121"/>
      <c r="Q29" s="284">
        <f>'Plan za unos u SAP'!G964+'Plan za unos u SAP'!G965</f>
        <v>5000</v>
      </c>
      <c r="R29" s="284">
        <f>'Plan za unos u SAP'!H964+'Plan za unos u SAP'!H965</f>
        <v>2537</v>
      </c>
      <c r="S29" s="320">
        <f t="shared" si="3"/>
        <v>2180</v>
      </c>
    </row>
    <row r="30" spans="1:19">
      <c r="A30" s="102" t="s">
        <v>151</v>
      </c>
      <c r="B30" s="293" t="s">
        <v>152</v>
      </c>
      <c r="C30" s="307">
        <f t="shared" si="0"/>
        <v>0</v>
      </c>
      <c r="D30" s="302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1"/>
      <c r="Q30" s="284"/>
      <c r="R30" s="284"/>
      <c r="S30" s="320" t="e">
        <f t="shared" si="3"/>
        <v>#DIV/0!</v>
      </c>
    </row>
    <row r="31" spans="1:19">
      <c r="A31" s="102" t="s">
        <v>153</v>
      </c>
      <c r="B31" s="293" t="s">
        <v>154</v>
      </c>
      <c r="C31" s="307">
        <f t="shared" si="0"/>
        <v>0</v>
      </c>
      <c r="D31" s="302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>
        <f>'Plan za unos u SAP'!I966</f>
        <v>0</v>
      </c>
      <c r="P31" s="121"/>
      <c r="Q31" s="284">
        <f>'Plan za unos u SAP'!G966</f>
        <v>0</v>
      </c>
      <c r="R31" s="284">
        <f>'Plan za unos u SAP'!H966</f>
        <v>0</v>
      </c>
      <c r="S31" s="320" t="e">
        <f t="shared" si="3"/>
        <v>#DIV/0!</v>
      </c>
    </row>
    <row r="32" spans="1:19" ht="22.5">
      <c r="A32" s="102" t="s">
        <v>728</v>
      </c>
      <c r="B32" s="294" t="s">
        <v>727</v>
      </c>
      <c r="C32" s="307">
        <f t="shared" si="0"/>
        <v>0</v>
      </c>
      <c r="D32" s="302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>
        <f>'Plan za unos u SAP'!I967</f>
        <v>0</v>
      </c>
      <c r="P32" s="121"/>
      <c r="Q32" s="284">
        <f>'Plan za unos u SAP'!G967</f>
        <v>0</v>
      </c>
      <c r="R32" s="284">
        <f>'Plan za unos u SAP'!H967</f>
        <v>0</v>
      </c>
      <c r="S32" s="320" t="e">
        <f t="shared" si="3"/>
        <v>#DIV/0!</v>
      </c>
    </row>
    <row r="33" spans="1:19" s="108" customFormat="1">
      <c r="A33" s="123" t="s">
        <v>155</v>
      </c>
      <c r="B33" s="292" t="s">
        <v>144</v>
      </c>
      <c r="C33" s="307">
        <f t="shared" si="0"/>
        <v>109000</v>
      </c>
      <c r="D33" s="305">
        <f t="shared" ref="D33:R33" si="9">SUM(D27:D32)</f>
        <v>0</v>
      </c>
      <c r="E33" s="124">
        <f t="shared" si="9"/>
        <v>0</v>
      </c>
      <c r="F33" s="124">
        <f t="shared" si="9"/>
        <v>0</v>
      </c>
      <c r="G33" s="124">
        <f t="shared" si="9"/>
        <v>0</v>
      </c>
      <c r="H33" s="124">
        <f t="shared" si="9"/>
        <v>0</v>
      </c>
      <c r="I33" s="124">
        <f t="shared" si="9"/>
        <v>0</v>
      </c>
      <c r="J33" s="124">
        <f t="shared" si="9"/>
        <v>0</v>
      </c>
      <c r="K33" s="124">
        <f t="shared" si="9"/>
        <v>0</v>
      </c>
      <c r="L33" s="124">
        <f t="shared" si="9"/>
        <v>0</v>
      </c>
      <c r="M33" s="124">
        <f t="shared" si="9"/>
        <v>0</v>
      </c>
      <c r="N33" s="124">
        <f t="shared" si="9"/>
        <v>0</v>
      </c>
      <c r="O33" s="124">
        <f t="shared" si="9"/>
        <v>109000</v>
      </c>
      <c r="P33" s="125">
        <f t="shared" si="9"/>
        <v>0</v>
      </c>
      <c r="Q33" s="321">
        <f t="shared" si="9"/>
        <v>5000</v>
      </c>
      <c r="R33" s="321">
        <f t="shared" si="9"/>
        <v>2537</v>
      </c>
      <c r="S33" s="328">
        <f t="shared" si="3"/>
        <v>2180</v>
      </c>
    </row>
    <row r="34" spans="1:19" ht="22.5">
      <c r="A34" s="126">
        <v>818</v>
      </c>
      <c r="B34" s="295" t="s">
        <v>730</v>
      </c>
      <c r="C34" s="307">
        <f t="shared" si="0"/>
        <v>0</v>
      </c>
      <c r="D34" s="302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1">
        <f>'Plan za unos u SAP'!I971</f>
        <v>0</v>
      </c>
      <c r="Q34" s="284">
        <f>'Plan za unos u SAP'!G969</f>
        <v>0</v>
      </c>
      <c r="R34" s="284">
        <f>'Plan za unos u SAP'!H969</f>
        <v>0</v>
      </c>
      <c r="S34" s="320" t="e">
        <f t="shared" si="3"/>
        <v>#DIV/0!</v>
      </c>
    </row>
    <row r="35" spans="1:19" ht="33.75">
      <c r="A35" s="126">
        <v>842</v>
      </c>
      <c r="B35" s="296" t="s">
        <v>156</v>
      </c>
      <c r="C35" s="307">
        <f t="shared" si="0"/>
        <v>0</v>
      </c>
      <c r="D35" s="302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1"/>
      <c r="Q35" s="284">
        <f>'Plan za unos u SAP'!G970</f>
        <v>0</v>
      </c>
      <c r="R35" s="284">
        <f>'Plan za unos u SAP'!H970</f>
        <v>0</v>
      </c>
      <c r="S35" s="320" t="e">
        <f t="shared" si="3"/>
        <v>#DIV/0!</v>
      </c>
    </row>
    <row r="36" spans="1:19" s="108" customFormat="1">
      <c r="A36" s="123" t="s">
        <v>157</v>
      </c>
      <c r="B36" s="292" t="s">
        <v>144</v>
      </c>
      <c r="C36" s="307">
        <f t="shared" si="0"/>
        <v>0</v>
      </c>
      <c r="D36" s="305">
        <f t="shared" ref="D36:P36" si="10">SUM(D34:D35)</f>
        <v>0</v>
      </c>
      <c r="E36" s="124">
        <f t="shared" si="10"/>
        <v>0</v>
      </c>
      <c r="F36" s="124">
        <f t="shared" si="10"/>
        <v>0</v>
      </c>
      <c r="G36" s="124">
        <f t="shared" si="10"/>
        <v>0</v>
      </c>
      <c r="H36" s="124">
        <f t="shared" si="10"/>
        <v>0</v>
      </c>
      <c r="I36" s="124">
        <f t="shared" si="10"/>
        <v>0</v>
      </c>
      <c r="J36" s="124">
        <f t="shared" si="10"/>
        <v>0</v>
      </c>
      <c r="K36" s="124">
        <f t="shared" si="10"/>
        <v>0</v>
      </c>
      <c r="L36" s="124">
        <f t="shared" si="10"/>
        <v>0</v>
      </c>
      <c r="M36" s="124">
        <f t="shared" si="10"/>
        <v>0</v>
      </c>
      <c r="N36" s="124">
        <f t="shared" si="10"/>
        <v>0</v>
      </c>
      <c r="O36" s="124">
        <f t="shared" si="10"/>
        <v>0</v>
      </c>
      <c r="P36" s="125">
        <f t="shared" si="10"/>
        <v>0</v>
      </c>
      <c r="Q36" s="321">
        <f t="shared" ref="Q36:R36" si="11">SUM(Q34:Q35)</f>
        <v>0</v>
      </c>
      <c r="R36" s="321">
        <f t="shared" si="11"/>
        <v>0</v>
      </c>
      <c r="S36" s="328" t="e">
        <f t="shared" si="3"/>
        <v>#DIV/0!</v>
      </c>
    </row>
    <row r="37" spans="1:19" ht="12" thickBot="1">
      <c r="A37" s="933" t="s">
        <v>158</v>
      </c>
      <c r="B37" s="934"/>
      <c r="C37" s="311">
        <f t="shared" si="0"/>
        <v>58601299</v>
      </c>
      <c r="D37" s="306">
        <f t="shared" ref="D37:P37" si="12">+D36+D33+D26</f>
        <v>48160000</v>
      </c>
      <c r="E37" s="127">
        <f t="shared" si="12"/>
        <v>0</v>
      </c>
      <c r="F37" s="127">
        <f t="shared" si="12"/>
        <v>5391145</v>
      </c>
      <c r="G37" s="127">
        <f t="shared" si="12"/>
        <v>1856000</v>
      </c>
      <c r="H37" s="127">
        <f t="shared" si="12"/>
        <v>53242</v>
      </c>
      <c r="I37" s="127">
        <f t="shared" si="12"/>
        <v>3000000</v>
      </c>
      <c r="J37" s="127">
        <f t="shared" si="12"/>
        <v>0</v>
      </c>
      <c r="K37" s="127">
        <f t="shared" si="12"/>
        <v>0</v>
      </c>
      <c r="L37" s="127">
        <f t="shared" si="12"/>
        <v>0</v>
      </c>
      <c r="M37" s="127">
        <f t="shared" si="12"/>
        <v>31912</v>
      </c>
      <c r="N37" s="127">
        <f t="shared" si="12"/>
        <v>0</v>
      </c>
      <c r="O37" s="127">
        <f t="shared" si="12"/>
        <v>109000</v>
      </c>
      <c r="P37" s="128">
        <f t="shared" si="12"/>
        <v>0</v>
      </c>
      <c r="Q37" s="322">
        <f t="shared" ref="Q37:R37" si="13">+Q36+Q33+Q26</f>
        <v>53058658</v>
      </c>
      <c r="R37" s="322">
        <f t="shared" si="13"/>
        <v>47063506.770000003</v>
      </c>
      <c r="S37" s="329">
        <f t="shared" si="3"/>
        <v>110.44625176912692</v>
      </c>
    </row>
    <row r="39" spans="1:19" ht="12">
      <c r="A39" s="373" t="s">
        <v>788</v>
      </c>
      <c r="B39" s="373"/>
      <c r="C39" s="373"/>
      <c r="D39" s="373"/>
      <c r="E39" s="373"/>
      <c r="F39" s="373"/>
      <c r="G39" s="373"/>
      <c r="H39" s="373"/>
      <c r="I39" s="373"/>
    </row>
  </sheetData>
  <mergeCells count="5">
    <mergeCell ref="S3:S4"/>
    <mergeCell ref="A1:P1"/>
    <mergeCell ref="A3:B3"/>
    <mergeCell ref="A37:B37"/>
    <mergeCell ref="C3:R3"/>
  </mergeCells>
  <dataValidations count="3">
    <dataValidation type="whole" allowBlank="1" showInputMessage="1" showErrorMessage="1" errorTitle="GREŠKA" error="U ovo polje je dozvoljen unos samo brojčanih vrijednosti!" prompt="Molimo unos brojčane vrijednosti!" sqref="D5:E5 K5:P5" xr:uid="{00000000-0002-0000-0200-000000000000}">
      <formula1>0</formula1>
      <formula2>100000000</formula2>
    </dataValidation>
    <dataValidation type="whole" allowBlank="1" showInputMessage="1" showErrorMessage="1" errorTitle="GREŠKA" error="U ovo polje je dozvoljen unos samo brojčanih vrijednosti s negativnim predznakom!" prompt="Molimo unos brojčane vrijednosti s negativnim predznakom!" sqref="D7:P7" xr:uid="{00000000-0002-0000-0200-000001000000}">
      <formula1>-100000000</formula1>
      <formula2>0</formula2>
    </dataValidation>
    <dataValidation type="whole" allowBlank="1" showInputMessage="1" showErrorMessage="1" errorTitle="GREŠKA" error="U ovo polje je dozvoljen unos samo brojčanih vrijednosti!" prompt="Molimo unos brojčane vrijednosti!" sqref="F5:J5" xr:uid="{A3E7D8E8-CFB3-4309-ADEF-FBB4344D98E1}">
      <formula1>0</formula1>
      <formula2>500000000</formula2>
    </dataValidation>
  </dataValidations>
  <pageMargins left="0.25" right="0.25" top="0.75" bottom="0.75" header="0.3" footer="0.3"/>
  <pageSetup paperSize="9" scale="60" orientation="landscape" horizont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541"/>
  <sheetViews>
    <sheetView workbookViewId="0">
      <pane xSplit="3" ySplit="5" topLeftCell="F6" activePane="bottomRight" state="frozen"/>
      <selection pane="topRight" activeCell="D1" sqref="D1"/>
      <selection pane="bottomLeft" activeCell="A6" sqref="A6"/>
      <selection pane="bottomRight" activeCell="F36" sqref="F36"/>
    </sheetView>
  </sheetViews>
  <sheetFormatPr defaultColWidth="9.140625" defaultRowHeight="12.75"/>
  <cols>
    <col min="1" max="1" width="14.140625" style="5" customWidth="1"/>
    <col min="2" max="2" width="56.5703125" style="6" customWidth="1"/>
    <col min="3" max="3" width="13.85546875" style="6" customWidth="1"/>
    <col min="4" max="4" width="13.140625" style="6" customWidth="1"/>
    <col min="5" max="11" width="13.140625" style="7" customWidth="1"/>
    <col min="12" max="14" width="13.140625" style="2" customWidth="1"/>
    <col min="15" max="15" width="14.7109375" style="2" customWidth="1"/>
    <col min="16" max="16" width="13.140625" style="2" customWidth="1"/>
    <col min="17" max="17" width="11.7109375" style="81" customWidth="1"/>
    <col min="18" max="18" width="11.42578125" style="83" customWidth="1"/>
    <col min="19" max="19" width="11.42578125" style="314" customWidth="1"/>
    <col min="20" max="20" width="11" style="131" customWidth="1"/>
    <col min="21" max="21" width="15.85546875" style="2" customWidth="1"/>
    <col min="22" max="16384" width="9.140625" style="2"/>
  </cols>
  <sheetData>
    <row r="1" spans="1:21" ht="15.75">
      <c r="A1" s="938" t="s">
        <v>832</v>
      </c>
      <c r="B1" s="938"/>
      <c r="C1" s="938"/>
      <c r="D1" s="938"/>
      <c r="E1" s="938"/>
      <c r="F1" s="938"/>
      <c r="G1" s="938"/>
      <c r="H1" s="938"/>
      <c r="I1" s="938"/>
      <c r="J1" s="938"/>
      <c r="K1" s="938"/>
      <c r="L1" s="938"/>
      <c r="M1" s="938"/>
      <c r="N1" s="938"/>
      <c r="O1" s="938"/>
      <c r="P1" s="938"/>
      <c r="R1" s="940" t="s">
        <v>790</v>
      </c>
      <c r="S1" s="940"/>
    </row>
    <row r="2" spans="1:21" ht="70.5" customHeight="1">
      <c r="A2" s="45" t="s">
        <v>615</v>
      </c>
      <c r="B2" s="45" t="s">
        <v>616</v>
      </c>
      <c r="C2" s="46" t="s">
        <v>833</v>
      </c>
      <c r="D2" s="46" t="s">
        <v>617</v>
      </c>
      <c r="E2" s="46" t="s">
        <v>103</v>
      </c>
      <c r="F2" s="45" t="s">
        <v>104</v>
      </c>
      <c r="G2" s="45" t="s">
        <v>105</v>
      </c>
      <c r="H2" s="45" t="s">
        <v>106</v>
      </c>
      <c r="I2" s="45" t="s">
        <v>107</v>
      </c>
      <c r="J2" s="100" t="s">
        <v>108</v>
      </c>
      <c r="K2" s="45" t="s">
        <v>109</v>
      </c>
      <c r="L2" s="45" t="s">
        <v>110</v>
      </c>
      <c r="M2" s="45" t="s">
        <v>111</v>
      </c>
      <c r="N2" s="45" t="s">
        <v>112</v>
      </c>
      <c r="O2" s="45" t="s">
        <v>618</v>
      </c>
      <c r="P2" s="45" t="s">
        <v>611</v>
      </c>
      <c r="Q2" s="80" t="s">
        <v>831</v>
      </c>
      <c r="R2" s="80" t="s">
        <v>821</v>
      </c>
      <c r="S2" s="76" t="s">
        <v>614</v>
      </c>
      <c r="T2" s="313"/>
    </row>
    <row r="3" spans="1:21">
      <c r="A3" s="47"/>
      <c r="B3" s="47" t="s">
        <v>619</v>
      </c>
      <c r="C3" s="48">
        <f>SUM(D3:P3)</f>
        <v>58841445</v>
      </c>
      <c r="D3" s="49">
        <f t="shared" ref="D3:Q3" si="0">D4+D38+D58</f>
        <v>48160000</v>
      </c>
      <c r="E3" s="49">
        <f t="shared" si="0"/>
        <v>0</v>
      </c>
      <c r="F3" s="49">
        <f t="shared" si="0"/>
        <v>4413279</v>
      </c>
      <c r="G3" s="49">
        <f t="shared" si="0"/>
        <v>2292450</v>
      </c>
      <c r="H3" s="49">
        <f t="shared" si="0"/>
        <v>62839</v>
      </c>
      <c r="I3" s="49">
        <f t="shared" si="0"/>
        <v>3787995</v>
      </c>
      <c r="J3" s="49">
        <f t="shared" ref="J3" si="1">J4+J38+J58</f>
        <v>0</v>
      </c>
      <c r="K3" s="49">
        <f t="shared" si="0"/>
        <v>0</v>
      </c>
      <c r="L3" s="49">
        <f t="shared" si="0"/>
        <v>0</v>
      </c>
      <c r="M3" s="49">
        <f t="shared" si="0"/>
        <v>10458</v>
      </c>
      <c r="N3" s="49">
        <f t="shared" si="0"/>
        <v>0</v>
      </c>
      <c r="O3" s="49">
        <f t="shared" si="0"/>
        <v>114424</v>
      </c>
      <c r="P3" s="49">
        <f t="shared" si="0"/>
        <v>0</v>
      </c>
      <c r="Q3" s="79">
        <f t="shared" si="0"/>
        <v>51947457</v>
      </c>
      <c r="R3" s="79">
        <f>R4+R38+R58</f>
        <v>52419529.030000001</v>
      </c>
      <c r="S3" s="315">
        <f>C3/Q3*100</f>
        <v>113.27107889034875</v>
      </c>
      <c r="T3" s="92"/>
      <c r="U3" s="81"/>
    </row>
    <row r="4" spans="1:21">
      <c r="A4" s="50">
        <v>3</v>
      </c>
      <c r="B4" s="51" t="s">
        <v>620</v>
      </c>
      <c r="C4" s="52">
        <f t="shared" ref="C4:C35" si="2">ROUND(SUM(D4:P4),0)</f>
        <v>58121407</v>
      </c>
      <c r="D4" s="53">
        <f t="shared" ref="D4:Q4" si="3">D5+D9+D15+D19+D23+D30+D33</f>
        <v>48065438</v>
      </c>
      <c r="E4" s="53">
        <f t="shared" si="3"/>
        <v>0</v>
      </c>
      <c r="F4" s="53">
        <f t="shared" si="3"/>
        <v>4310654</v>
      </c>
      <c r="G4" s="53">
        <f t="shared" si="3"/>
        <v>1956450</v>
      </c>
      <c r="H4" s="53">
        <f t="shared" si="3"/>
        <v>62839</v>
      </c>
      <c r="I4" s="53">
        <f t="shared" si="3"/>
        <v>3715568</v>
      </c>
      <c r="J4" s="53">
        <f t="shared" ref="J4" si="4">J5+J9+J15+J19+J23+J30+J33</f>
        <v>0</v>
      </c>
      <c r="K4" s="53">
        <f t="shared" si="3"/>
        <v>0</v>
      </c>
      <c r="L4" s="53">
        <f t="shared" si="3"/>
        <v>0</v>
      </c>
      <c r="M4" s="53">
        <f t="shared" si="3"/>
        <v>10458</v>
      </c>
      <c r="N4" s="53">
        <f t="shared" si="3"/>
        <v>0</v>
      </c>
      <c r="O4" s="53">
        <f t="shared" si="3"/>
        <v>0</v>
      </c>
      <c r="P4" s="53">
        <f t="shared" si="3"/>
        <v>0</v>
      </c>
      <c r="Q4" s="77">
        <f t="shared" si="3"/>
        <v>51327457</v>
      </c>
      <c r="R4" s="77">
        <f t="shared" ref="R4" si="5">R5+R9+R15+R19+R23+R30+R33</f>
        <v>51766319.210000001</v>
      </c>
      <c r="S4" s="84">
        <f t="shared" ref="S4:S67" si="6">C4/Q4*100</f>
        <v>113.2364827659395</v>
      </c>
      <c r="U4" s="81"/>
    </row>
    <row r="5" spans="1:21">
      <c r="A5" s="54">
        <v>31</v>
      </c>
      <c r="B5" s="55" t="s">
        <v>621</v>
      </c>
      <c r="C5" s="56">
        <f t="shared" si="2"/>
        <v>50730119</v>
      </c>
      <c r="D5" s="57">
        <f>SUM(D6:D8)</f>
        <v>44012925</v>
      </c>
      <c r="E5" s="57">
        <f t="shared" ref="E5:O5" si="7">SUM(E6:E8)</f>
        <v>0</v>
      </c>
      <c r="F5" s="57">
        <f t="shared" si="7"/>
        <v>3854725</v>
      </c>
      <c r="G5" s="57">
        <f t="shared" si="7"/>
        <v>1042250</v>
      </c>
      <c r="H5" s="57">
        <f t="shared" si="7"/>
        <v>26953</v>
      </c>
      <c r="I5" s="57">
        <f t="shared" si="7"/>
        <v>1793266</v>
      </c>
      <c r="J5" s="57">
        <f t="shared" ref="J5" si="8">SUM(J6:J8)</f>
        <v>0</v>
      </c>
      <c r="K5" s="57">
        <f t="shared" si="7"/>
        <v>0</v>
      </c>
      <c r="L5" s="57">
        <f t="shared" si="7"/>
        <v>0</v>
      </c>
      <c r="M5" s="57">
        <f t="shared" si="7"/>
        <v>0</v>
      </c>
      <c r="N5" s="57">
        <f t="shared" si="7"/>
        <v>0</v>
      </c>
      <c r="O5" s="57">
        <f t="shared" si="7"/>
        <v>0</v>
      </c>
      <c r="P5" s="57">
        <f>SUM(P6:P8)</f>
        <v>0</v>
      </c>
      <c r="Q5" s="78">
        <f t="shared" ref="Q5" si="9">SUM(Q6:Q8)</f>
        <v>46445374</v>
      </c>
      <c r="R5" s="78">
        <f t="shared" ref="R5" si="10">SUM(R6:R8)</f>
        <v>45185285.259999998</v>
      </c>
      <c r="S5" s="85">
        <f t="shared" si="6"/>
        <v>109.22534287268309</v>
      </c>
      <c r="U5" s="81"/>
    </row>
    <row r="6" spans="1:21">
      <c r="A6" s="58">
        <v>311</v>
      </c>
      <c r="B6" s="58" t="s">
        <v>622</v>
      </c>
      <c r="C6" s="59">
        <f t="shared" si="2"/>
        <v>41591636</v>
      </c>
      <c r="D6" s="312">
        <f>'Plan za unos u SAP'!I6+'Plan za unos u SAP'!I7+'Plan za unos u SAP'!I15+'Plan za unos u SAP'!I16+'Plan za unos u SAP'!I17+'Plan za unos u SAP'!I18</f>
        <v>36793500</v>
      </c>
      <c r="E6" s="60">
        <f>'Plan za unos u SAP'!I560+'Plan za unos u SAP'!I561+'Plan za unos u SAP'!I562+'Plan za unos u SAP'!I563+'Plan za unos u SAP'!I629+'Plan za unos u SAP'!I630+'Plan za unos u SAP'!I631+'Plan za unos u SAP'!I632</f>
        <v>0</v>
      </c>
      <c r="F6" s="60">
        <f>'Plan za unos u SAP'!I86+'Plan za unos u SAP'!I87+'Plan za unos u SAP'!I88+'Plan za unos u SAP'!I89</f>
        <v>2665000</v>
      </c>
      <c r="G6" s="60">
        <f>'Plan za unos u SAP'!I154+'Plan za unos u SAP'!I155+'Plan za unos u SAP'!I156+'Plan za unos u SAP'!I157+'Plan za unos u SAP'!I222+'Plan za unos u SAP'!I223+'Plan za unos u SAP'!I224+'Plan za unos u SAP'!I225</f>
        <v>650000</v>
      </c>
      <c r="H6" s="60">
        <f>'Plan za unos u SAP'!I302+'Plan za unos u SAP'!I303+'Plan za unos u SAP'!I304+'Plan za unos u SAP'!I305</f>
        <v>23136</v>
      </c>
      <c r="I6" s="60">
        <f>'Plan za unos u SAP'!I372+'Plan za unos u SAP'!I373+'Plan za unos u SAP'!I374+'Plan za unos u SAP'!I375+'Plan za unos u SAP'!I442+'Plan za unos u SAP'!I443+'Plan za unos u SAP'!I444+'Plan za unos u SAP'!I445</f>
        <v>1460000</v>
      </c>
      <c r="J6" s="60">
        <v>0</v>
      </c>
      <c r="K6" s="60">
        <f>'Plan za unos u SAP'!I705+'Plan za unos u SAP'!I706+'Plan za unos u SAP'!I707+'Plan za unos u SAP'!I708</f>
        <v>0</v>
      </c>
      <c r="L6" s="60">
        <f>'Plan za unos u SAP'!I780+'Plan za unos u SAP'!I781+'Plan za unos u SAP'!I782+'Plan za unos u SAP'!I783+'Plan za unos u SAP'!I849+'Plan za unos u SAP'!I850+'Plan za unos u SAP'!I851+'Plan za unos u SAP'!I852</f>
        <v>0</v>
      </c>
      <c r="M6" s="60">
        <f>'Plan za unos u SAP'!I512+'Plan za unos u SAP'!I520</f>
        <v>0</v>
      </c>
      <c r="N6" s="60">
        <v>0</v>
      </c>
      <c r="O6" s="60">
        <v>0</v>
      </c>
      <c r="P6" s="60">
        <v>0</v>
      </c>
      <c r="Q6" s="82">
        <f>'Plan za unos u SAP'!G6+'Plan za unos u SAP'!G7+'Plan za unos u SAP'!G15+'Plan za unos u SAP'!G16+'Plan za unos u SAP'!G17+'Plan za unos u SAP'!G18+'Plan za unos u SAP'!G86+'Plan za unos u SAP'!G87+'Plan za unos u SAP'!G88+'Plan za unos u SAP'!G89+'Plan za unos u SAP'!G154+'Plan za unos u SAP'!G155+'Plan za unos u SAP'!G156+'Plan za unos u SAP'!G157+'Plan za unos u SAP'!G222+'Plan za unos u SAP'!G223+'Plan za unos u SAP'!G224+'Plan za unos u SAP'!G225+'Plan za unos u SAP'!G302+'Plan za unos u SAP'!G303+'Plan za unos u SAP'!G304+'Plan za unos u SAP'!G305+'Plan za unos u SAP'!G372+'Plan za unos u SAP'!G373+'Plan za unos u SAP'!G374+'Plan za unos u SAP'!G375+'Plan za unos u SAP'!G442+'Plan za unos u SAP'!G443+'Plan za unos u SAP'!G444+'Plan za unos u SAP'!G445+'Plan za unos u SAP'!G512+'Plan za unos u SAP'!G520+'Plan za unos u SAP'!G560+'Plan za unos u SAP'!G561+'Plan za unos u SAP'!G562+'Plan za unos u SAP'!G563+'Plan za unos u SAP'!G629+'Plan za unos u SAP'!G630+'Plan za unos u SAP'!G631+'Plan za unos u SAP'!G632+'Plan za unos u SAP'!G705+'Plan za unos u SAP'!G706+'Plan za unos u SAP'!G707+'Plan za unos u SAP'!G708+'Plan za unos u SAP'!G780+'Plan za unos u SAP'!G781+'Plan za unos u SAP'!G782+'Plan za unos u SAP'!G783+'Plan za unos u SAP'!G849+'Plan za unos u SAP'!G850+'Plan za unos u SAP'!G851+'Plan za unos u SAP'!G852</f>
        <v>38453888</v>
      </c>
      <c r="R6" s="82">
        <f>'Plan za unos u SAP'!H6+'Plan za unos u SAP'!H7+'Plan za unos u SAP'!H15+'Plan za unos u SAP'!H16+'Plan za unos u SAP'!H17+'Plan za unos u SAP'!H18+'Plan za unos u SAP'!H86+'Plan za unos u SAP'!H87+'Plan za unos u SAP'!H88+'Plan za unos u SAP'!H89+'Plan za unos u SAP'!H154+'Plan za unos u SAP'!H155+'Plan za unos u SAP'!H156+'Plan za unos u SAP'!H157+'Plan za unos u SAP'!H222+'Plan za unos u SAP'!H223+'Plan za unos u SAP'!H224+'Plan za unos u SAP'!H225+'Plan za unos u SAP'!H302+'Plan za unos u SAP'!H303+'Plan za unos u SAP'!H304+'Plan za unos u SAP'!H305+'Plan za unos u SAP'!H372+'Plan za unos u SAP'!H373+'Plan za unos u SAP'!H374+'Plan za unos u SAP'!H375+'Plan za unos u SAP'!H442+'Plan za unos u SAP'!H443+'Plan za unos u SAP'!H444+'Plan za unos u SAP'!H445+'Plan za unos u SAP'!H512+'Plan za unos u SAP'!H520+'Plan za unos u SAP'!H560+'Plan za unos u SAP'!H561+'Plan za unos u SAP'!H562+'Plan za unos u SAP'!H563+'Plan za unos u SAP'!H629+'Plan za unos u SAP'!H630+'Plan za unos u SAP'!H631+'Plan za unos u SAP'!H632+'Plan za unos u SAP'!H705+'Plan za unos u SAP'!H706+'Plan za unos u SAP'!H707+'Plan za unos u SAP'!H708+'Plan za unos u SAP'!H780+'Plan za unos u SAP'!H781+'Plan za unos u SAP'!H782+'Plan za unos u SAP'!H783+'Plan za unos u SAP'!H849+'Plan za unos u SAP'!H850+'Plan za unos u SAP'!H851+'Plan za unos u SAP'!H852</f>
        <v>37591966.829999998</v>
      </c>
      <c r="S6" s="86">
        <f t="shared" si="6"/>
        <v>108.1597678757477</v>
      </c>
      <c r="U6" s="81"/>
    </row>
    <row r="7" spans="1:21">
      <c r="A7" s="61">
        <v>312</v>
      </c>
      <c r="B7" s="62" t="s">
        <v>51</v>
      </c>
      <c r="C7" s="63">
        <f t="shared" si="2"/>
        <v>2207600</v>
      </c>
      <c r="D7" s="60">
        <f>'Plan za unos u SAP'!I8+'Plan za unos u SAP'!I19</f>
        <v>1149900</v>
      </c>
      <c r="E7" s="60">
        <f>'Plan za unos u SAP'!I564+'Plan za unos u SAP'!I633</f>
        <v>0</v>
      </c>
      <c r="F7" s="60">
        <f>'Plan za unos u SAP'!I90</f>
        <v>750000</v>
      </c>
      <c r="G7" s="60">
        <f>'Plan za unos u SAP'!I158+'Plan za unos u SAP'!I226</f>
        <v>285000</v>
      </c>
      <c r="H7" s="60">
        <f>'Plan za unos u SAP'!I292+'Plan za unos u SAP'!I306</f>
        <v>0</v>
      </c>
      <c r="I7" s="60">
        <f>'Plan za unos u SAP'!I376+'Plan za unos u SAP'!I446</f>
        <v>22700</v>
      </c>
      <c r="J7" s="60">
        <v>0</v>
      </c>
      <c r="K7" s="60">
        <f>'Plan za unos u SAP'!I709</f>
        <v>0</v>
      </c>
      <c r="L7" s="60">
        <f>'Plan za unos u SAP'!I784+'Plan za unos u SAP'!I853</f>
        <v>0</v>
      </c>
      <c r="M7" s="60">
        <f>'Plan za unos u SAP'!I521</f>
        <v>0</v>
      </c>
      <c r="N7" s="60">
        <v>0</v>
      </c>
      <c r="O7" s="60">
        <v>0</v>
      </c>
      <c r="P7" s="60">
        <v>0</v>
      </c>
      <c r="Q7" s="82">
        <f>'Plan za unos u SAP'!G8+'Plan za unos u SAP'!G19+'Plan za unos u SAP'!G90+'Plan za unos u SAP'!G158+'Plan za unos u SAP'!G226+'Plan za unos u SAP'!G292+'Plan za unos u SAP'!G306+'Plan za unos u SAP'!G376+'Plan za unos u SAP'!G446+'Plan za unos u SAP'!G521+'Plan za unos u SAP'!G564+'Plan za unos u SAP'!G633+'Plan za unos u SAP'!G709+'Plan za unos u SAP'!G784+'Plan za unos u SAP'!G853</f>
        <v>1678946</v>
      </c>
      <c r="R7" s="82">
        <f>'Plan za unos u SAP'!H8+'Plan za unos u SAP'!H19+'Plan za unos u SAP'!H90+'Plan za unos u SAP'!H158+'Plan za unos u SAP'!H226+'Plan za unos u SAP'!H292+'Plan za unos u SAP'!H306+'Plan za unos u SAP'!H376+'Plan za unos u SAP'!H446+'Plan za unos u SAP'!H521+'Plan za unos u SAP'!H564+'Plan za unos u SAP'!H633+'Plan za unos u SAP'!H709+'Plan za unos u SAP'!H784+'Plan za unos u SAP'!H853</f>
        <v>1423953.08</v>
      </c>
      <c r="S7" s="86">
        <f t="shared" si="6"/>
        <v>131.48725450371842</v>
      </c>
      <c r="U7" s="81"/>
    </row>
    <row r="8" spans="1:21">
      <c r="A8" s="64">
        <v>313</v>
      </c>
      <c r="B8" s="62" t="s">
        <v>623</v>
      </c>
      <c r="C8" s="63">
        <f t="shared" si="2"/>
        <v>6930883</v>
      </c>
      <c r="D8" s="60">
        <f>'Plan za unos u SAP'!I9+'Plan za unos u SAP'!I20+'Plan za unos u SAP'!I21+'Plan za unos u SAP'!I22</f>
        <v>6069525</v>
      </c>
      <c r="E8" s="60">
        <f>'Plan za unos u SAP'!I565+'Plan za unos u SAP'!I566+'Plan za unos u SAP'!I567+'Plan za unos u SAP'!I634+'Plan za unos u SAP'!I635+'Plan za unos u SAP'!I636</f>
        <v>0</v>
      </c>
      <c r="F8" s="60">
        <f>'Plan za unos u SAP'!I91+'Plan za unos u SAP'!I92+'Plan za unos u SAP'!I93</f>
        <v>439725</v>
      </c>
      <c r="G8" s="60">
        <f>'Plan za unos u SAP'!I159+'Plan za unos u SAP'!I160+'Plan za unos u SAP'!I161+'Plan za unos u SAP'!I227+'Plan za unos u SAP'!I228+'Plan za unos u SAP'!I229</f>
        <v>107250</v>
      </c>
      <c r="H8" s="60">
        <f>'Plan za unos u SAP'!I307+'Plan za unos u SAP'!I308+'Plan za unos u SAP'!I309</f>
        <v>3817</v>
      </c>
      <c r="I8" s="60">
        <f>'Plan za unos u SAP'!I377+'Plan za unos u SAP'!I378+'Plan za unos u SAP'!I379+'Plan za unos u SAP'!I447+'Plan za unos u SAP'!I448+'Plan za unos u SAP'!I449</f>
        <v>310566</v>
      </c>
      <c r="J8" s="60">
        <v>0</v>
      </c>
      <c r="K8" s="60">
        <f>'Plan za unos u SAP'!I710+'Plan za unos u SAP'!I711+'Plan za unos u SAP'!I712</f>
        <v>0</v>
      </c>
      <c r="L8" s="60">
        <f>'Plan za unos u SAP'!I785+'Plan za unos u SAP'!I786+'Plan za unos u SAP'!I787+'Plan za unos u SAP'!I854+'Plan za unos u SAP'!I855+'Plan za unos u SAP'!I856</f>
        <v>0</v>
      </c>
      <c r="M8" s="60">
        <f>'Plan za unos u SAP'!I513+'Plan za unos u SAP'!I522</f>
        <v>0</v>
      </c>
      <c r="N8" s="60">
        <v>0</v>
      </c>
      <c r="O8" s="60">
        <v>0</v>
      </c>
      <c r="P8" s="60">
        <v>0</v>
      </c>
      <c r="Q8" s="82">
        <f>'Plan za unos u SAP'!G9+'Plan za unos u SAP'!G20+'Plan za unos u SAP'!G21+'Plan za unos u SAP'!G22+'Plan za unos u SAP'!G91+'Plan za unos u SAP'!G92+'Plan za unos u SAP'!G93+'Plan za unos u SAP'!G159+'Plan za unos u SAP'!G160+'Plan za unos u SAP'!G161+'Plan za unos u SAP'!G227+'Plan za unos u SAP'!G228+'Plan za unos u SAP'!G229+'Plan za unos u SAP'!G307+'Plan za unos u SAP'!G308+'Plan za unos u SAP'!G309+'Plan za unos u SAP'!G377+'Plan za unos u SAP'!G378+'Plan za unos u SAP'!G379+'Plan za unos u SAP'!G447+'Plan za unos u SAP'!G448+'Plan za unos u SAP'!G449+'Plan za unos u SAP'!G513+'Plan za unos u SAP'!G522+'Plan za unos u SAP'!G565+'Plan za unos u SAP'!G566+'Plan za unos u SAP'!G567+'Plan za unos u SAP'!G634+'Plan za unos u SAP'!G635+'Plan za unos u SAP'!G636+'Plan za unos u SAP'!G710+'Plan za unos u SAP'!G711+'Plan za unos u SAP'!G712+'Plan za unos u SAP'!G785+'Plan za unos u SAP'!G786+'Plan za unos u SAP'!G787+'Plan za unos u SAP'!G854+'Plan za unos u SAP'!G855+'Plan za unos u SAP'!G856</f>
        <v>6312540</v>
      </c>
      <c r="R8" s="82">
        <f>'Plan za unos u SAP'!H9+'Plan za unos u SAP'!H20+'Plan za unos u SAP'!H21+'Plan za unos u SAP'!H22+'Plan za unos u SAP'!H91+'Plan za unos u SAP'!H92+'Plan za unos u SAP'!H93+'Plan za unos u SAP'!H159+'Plan za unos u SAP'!H160+'Plan za unos u SAP'!H161+'Plan za unos u SAP'!H227+'Plan za unos u SAP'!H228+'Plan za unos u SAP'!H229+'Plan za unos u SAP'!H307+'Plan za unos u SAP'!H308+'Plan za unos u SAP'!H309+'Plan za unos u SAP'!H377+'Plan za unos u SAP'!H378+'Plan za unos u SAP'!H379+'Plan za unos u SAP'!H447+'Plan za unos u SAP'!H448+'Plan za unos u SAP'!H449+'Plan za unos u SAP'!H513+'Plan za unos u SAP'!H522+'Plan za unos u SAP'!H565+'Plan za unos u SAP'!H566+'Plan za unos u SAP'!H567+'Plan za unos u SAP'!H634+'Plan za unos u SAP'!H635+'Plan za unos u SAP'!H636+'Plan za unos u SAP'!H710+'Plan za unos u SAP'!H711+'Plan za unos u SAP'!H712+'Plan za unos u SAP'!H785+'Plan za unos u SAP'!H786+'Plan za unos u SAP'!H787+'Plan za unos u SAP'!H854+'Plan za unos u SAP'!H855+'Plan za unos u SAP'!H856</f>
        <v>6169365.3500000006</v>
      </c>
      <c r="S8" s="86">
        <f t="shared" si="6"/>
        <v>109.79547060295856</v>
      </c>
      <c r="U8" s="81"/>
    </row>
    <row r="9" spans="1:21">
      <c r="A9" s="65">
        <v>32</v>
      </c>
      <c r="B9" s="66" t="s">
        <v>624</v>
      </c>
      <c r="C9" s="67">
        <f t="shared" si="2"/>
        <v>6577404</v>
      </c>
      <c r="D9" s="56">
        <f t="shared" ref="D9:R9" si="11">SUM(D10:D14)</f>
        <v>3994714</v>
      </c>
      <c r="E9" s="56">
        <f t="shared" si="11"/>
        <v>0</v>
      </c>
      <c r="F9" s="56">
        <f t="shared" si="11"/>
        <v>396500</v>
      </c>
      <c r="G9" s="56">
        <f t="shared" si="11"/>
        <v>776000</v>
      </c>
      <c r="H9" s="56">
        <f t="shared" si="11"/>
        <v>35886</v>
      </c>
      <c r="I9" s="56">
        <f t="shared" si="11"/>
        <v>1363946</v>
      </c>
      <c r="J9" s="56">
        <f t="shared" ref="J9" si="12">SUM(J10:J14)</f>
        <v>0</v>
      </c>
      <c r="K9" s="56">
        <f t="shared" si="11"/>
        <v>0</v>
      </c>
      <c r="L9" s="56">
        <f t="shared" si="11"/>
        <v>0</v>
      </c>
      <c r="M9" s="56">
        <f t="shared" si="11"/>
        <v>10358</v>
      </c>
      <c r="N9" s="56">
        <f t="shared" si="11"/>
        <v>0</v>
      </c>
      <c r="O9" s="56">
        <f t="shared" si="11"/>
        <v>0</v>
      </c>
      <c r="P9" s="56">
        <f t="shared" si="11"/>
        <v>0</v>
      </c>
      <c r="Q9" s="56">
        <f t="shared" si="11"/>
        <v>4705682</v>
      </c>
      <c r="R9" s="56">
        <f t="shared" si="11"/>
        <v>5820622.8800000008</v>
      </c>
      <c r="S9" s="85">
        <f t="shared" si="6"/>
        <v>139.77578595408698</v>
      </c>
      <c r="U9" s="81"/>
    </row>
    <row r="10" spans="1:21">
      <c r="A10" s="58">
        <v>321</v>
      </c>
      <c r="B10" s="58" t="s">
        <v>625</v>
      </c>
      <c r="C10" s="63">
        <f t="shared" si="2"/>
        <v>1685754</v>
      </c>
      <c r="D10" s="60">
        <f>'Plan za unos u SAP'!I10+'Plan za unos u SAP'!I23+'Plan za unos u SAP'!I24+'Plan za unos u SAP'!I25+'Plan za unos u SAP'!I26</f>
        <v>1105000</v>
      </c>
      <c r="E10" s="60">
        <f>'Plan za unos u SAP'!I568+'Plan za unos u SAP'!I569+'Plan za unos u SAP'!I570+'Plan za unos u SAP'!I571+'Plan za unos u SAP'!I637+'Plan za unos u SAP'!I638+'Plan za unos u SAP'!I639+'Plan za unos u SAP'!I640</f>
        <v>0</v>
      </c>
      <c r="F10" s="60">
        <f>'Plan za unos u SAP'!I94+'Plan za unos u SAP'!I95+'Plan za unos u SAP'!I96+'Plan za unos u SAP'!I97</f>
        <v>26500</v>
      </c>
      <c r="G10" s="60">
        <f>'Plan za unos u SAP'!I162+'Plan za unos u SAP'!I163+'Plan za unos u SAP'!I164+'Plan za unos u SAP'!I165+'Plan za unos u SAP'!I230+'Plan za unos u SAP'!I231+'Plan za unos u SAP'!I232+'Plan za unos u SAP'!I233</f>
        <v>46000</v>
      </c>
      <c r="H10" s="60">
        <f>'Plan za unos u SAP'!I293+'Plan za unos u SAP'!I294+'Plan za unos u SAP'!I310+'Plan za unos u SAP'!I311+'Plan za unos u SAP'!I312+'Plan za unos u SAP'!I313</f>
        <v>2970</v>
      </c>
      <c r="I10" s="60">
        <f>'Plan za unos u SAP'!I380+'Plan za unos u SAP'!I381+'Plan za unos u SAP'!I382+'Plan za unos u SAP'!I383+'Plan za unos u SAP'!I450+'Plan za unos u SAP'!I451+'Plan za unos u SAP'!I452+'Plan za unos u SAP'!I453</f>
        <v>505284</v>
      </c>
      <c r="J10" s="60">
        <v>0</v>
      </c>
      <c r="K10" s="60">
        <f>'Plan za unos u SAP'!I713+'Plan za unos u SAP'!I714+'Plan za unos u SAP'!I715+'Plan za unos u SAP'!I716</f>
        <v>0</v>
      </c>
      <c r="L10" s="60">
        <f>'Plan za unos u SAP'!I788+'Plan za unos u SAP'!I789+'Plan za unos u SAP'!I790+'Plan za unos u SAP'!I791+'Plan za unos u SAP'!I857+'Plan za unos u SAP'!I858+'Plan za unos u SAP'!I859+'Plan za unos u SAP'!I860</f>
        <v>0</v>
      </c>
      <c r="M10" s="60">
        <f>'Plan za unos u SAP'!I514+'Plan za unos u SAP'!I523+'Plan za unos u SAP'!I524+'Plan za unos u SAP'!I525</f>
        <v>0</v>
      </c>
      <c r="N10" s="60">
        <v>0</v>
      </c>
      <c r="O10" s="60">
        <v>0</v>
      </c>
      <c r="P10" s="60">
        <v>0</v>
      </c>
      <c r="Q10" s="82">
        <f>'Plan za unos u SAP'!G10+'Plan za unos u SAP'!G23+'Plan za unos u SAP'!G24+'Plan za unos u SAP'!G25+'Plan za unos u SAP'!G26+'Plan za unos u SAP'!G94+'Plan za unos u SAP'!G95+'Plan za unos u SAP'!G96+'Plan za unos u SAP'!G97+'Plan za unos u SAP'!G162+'Plan za unos u SAP'!G163+'Plan za unos u SAP'!G164+'Plan za unos u SAP'!G165+'Plan za unos u SAP'!G230+'Plan za unos u SAP'!G231+'Plan za unos u SAP'!G232+'Plan za unos u SAP'!G233+'Plan za unos u SAP'!G293+'Plan za unos u SAP'!G294+'Plan za unos u SAP'!G310+'Plan za unos u SAP'!G311+'Plan za unos u SAP'!G312+'Plan za unos u SAP'!G313+'Plan za unos u SAP'!G380+'Plan za unos u SAP'!G381+'Plan za unos u SAP'!G382+'Plan za unos u SAP'!G383+'Plan za unos u SAP'!G450+'Plan za unos u SAP'!G451+'Plan za unos u SAP'!G452+'Plan za unos u SAP'!G453+'Plan za unos u SAP'!G514+'Plan za unos u SAP'!G523+'Plan za unos u SAP'!G524+'Plan za unos u SAP'!G525+'Plan za unos u SAP'!G568+'Plan za unos u SAP'!G569+'Plan za unos u SAP'!G570+'Plan za unos u SAP'!G571+'Plan za unos u SAP'!G637+'Plan za unos u SAP'!G638+'Plan za unos u SAP'!G639+'Plan za unos u SAP'!G640+'Plan za unos u SAP'!G713+'Plan za unos u SAP'!G714+'Plan za unos u SAP'!G715+'Plan za unos u SAP'!G716+'Plan za unos u SAP'!G788+'Plan za unos u SAP'!G789+'Plan za unos u SAP'!G790+'Plan za unos u SAP'!G791+'Plan za unos u SAP'!G857+'Plan za unos u SAP'!G858+'Plan za unos u SAP'!G859+'Plan za unos u SAP'!G860</f>
        <v>1287694</v>
      </c>
      <c r="R10" s="82">
        <f>'Plan za unos u SAP'!H10+'Plan za unos u SAP'!H23+'Plan za unos u SAP'!H24+'Plan za unos u SAP'!H25+'Plan za unos u SAP'!H26+'Plan za unos u SAP'!H94+'Plan za unos u SAP'!H95+'Plan za unos u SAP'!H96+'Plan za unos u SAP'!H97+'Plan za unos u SAP'!H162+'Plan za unos u SAP'!H163+'Plan za unos u SAP'!H164+'Plan za unos u SAP'!H165+'Plan za unos u SAP'!H230+'Plan za unos u SAP'!H231+'Plan za unos u SAP'!H232+'Plan za unos u SAP'!H233+'Plan za unos u SAP'!H293+'Plan za unos u SAP'!H294+'Plan za unos u SAP'!H310+'Plan za unos u SAP'!H311+'Plan za unos u SAP'!H312+'Plan za unos u SAP'!H313+'Plan za unos u SAP'!H380+'Plan za unos u SAP'!H381+'Plan za unos u SAP'!H382+'Plan za unos u SAP'!H383+'Plan za unos u SAP'!H450+'Plan za unos u SAP'!H451+'Plan za unos u SAP'!H452+'Plan za unos u SAP'!H453+'Plan za unos u SAP'!H514+'Plan za unos u SAP'!H523+'Plan za unos u SAP'!H524+'Plan za unos u SAP'!H525+'Plan za unos u SAP'!H568+'Plan za unos u SAP'!H569+'Plan za unos u SAP'!H570+'Plan za unos u SAP'!H571+'Plan za unos u SAP'!H637+'Plan za unos u SAP'!H638+'Plan za unos u SAP'!H639+'Plan za unos u SAP'!H640+'Plan za unos u SAP'!H713+'Plan za unos u SAP'!H714+'Plan za unos u SAP'!H715+'Plan za unos u SAP'!H716+'Plan za unos u SAP'!H788+'Plan za unos u SAP'!H789+'Plan za unos u SAP'!H790+'Plan za unos u SAP'!H791+'Plan za unos u SAP'!H857+'Plan za unos u SAP'!H858+'Plan za unos u SAP'!H859+'Plan za unos u SAP'!H860</f>
        <v>1445435</v>
      </c>
      <c r="S10" s="86">
        <f t="shared" si="6"/>
        <v>130.91262365127119</v>
      </c>
      <c r="U10" s="81"/>
    </row>
    <row r="11" spans="1:21">
      <c r="A11" s="61">
        <v>322</v>
      </c>
      <c r="B11" s="62" t="s">
        <v>626</v>
      </c>
      <c r="C11" s="63">
        <f t="shared" si="2"/>
        <v>848888</v>
      </c>
      <c r="D11" s="60">
        <f>'Plan za unos u SAP'!I27+'Plan za unos u SAP'!I28+'Plan za unos u SAP'!I29+'Plan za unos u SAP'!I30+'Plan za unos u SAP'!I31+'Plan za unos u SAP'!I32</f>
        <v>645632</v>
      </c>
      <c r="E11" s="60">
        <f>'Plan za unos u SAP'!I572+'Plan za unos u SAP'!I573+'Plan za unos u SAP'!I574+'Plan za unos u SAP'!I575+'Plan za unos u SAP'!I576+'Plan za unos u SAP'!I577+'Plan za unos u SAP'!I641+'Plan za unos u SAP'!I642+'Plan za unos u SAP'!I643+'Plan za unos u SAP'!I644+'Plan za unos u SAP'!I645+'Plan za unos u SAP'!I646</f>
        <v>0</v>
      </c>
      <c r="F11" s="60">
        <f>'Plan za unos u SAP'!I98+'Plan za unos u SAP'!I99+'Plan za unos u SAP'!I100+'Plan za unos u SAP'!I101+'Plan za unos u SAP'!I102+'Plan za unos u SAP'!I103</f>
        <v>15000</v>
      </c>
      <c r="G11" s="60">
        <f>'Plan za unos u SAP'!I166+'Plan za unos u SAP'!I167+'Plan za unos u SAP'!I168+'Plan za unos u SAP'!I169+'Plan za unos u SAP'!I170+'Plan za unos u SAP'!I171+'Plan za unos u SAP'!I234+'Plan za unos u SAP'!I235+'Plan za unos u SAP'!I236+'Plan za unos u SAP'!I237+'Plan za unos u SAP'!I238+'Plan za unos u SAP'!I239</f>
        <v>155000</v>
      </c>
      <c r="H11" s="60">
        <f>'Plan za unos u SAP'!I295+'Plan za unos u SAP'!I314+'Plan za unos u SAP'!I315+'Plan za unos u SAP'!I316+'Plan za unos u SAP'!I317+'Plan za unos u SAP'!I318+'Plan za unos u SAP'!I319</f>
        <v>2714</v>
      </c>
      <c r="I11" s="60">
        <f>'Plan za unos u SAP'!I384+'Plan za unos u SAP'!I385+'Plan za unos u SAP'!I386+'Plan za unos u SAP'!I387+'Plan za unos u SAP'!I388+'Plan za unos u SAP'!I389+'Plan za unos u SAP'!I454+'Plan za unos u SAP'!I455+'Plan za unos u SAP'!I456+'Plan za unos u SAP'!I457+'Plan za unos u SAP'!I458+'Plan za unos u SAP'!I459</f>
        <v>24684</v>
      </c>
      <c r="J11" s="60">
        <v>0</v>
      </c>
      <c r="K11" s="60">
        <f>'Plan za unos u SAP'!I717+'Plan za unos u SAP'!I718+'Plan za unos u SAP'!I719+'Plan za unos u SAP'!I720+'Plan za unos u SAP'!I721+'Plan za unos u SAP'!I722</f>
        <v>0</v>
      </c>
      <c r="L11" s="60">
        <f>'Plan za unos u SAP'!I792+'Plan za unos u SAP'!I793+'Plan za unos u SAP'!I794+'Plan za unos u SAP'!I795+'Plan za unos u SAP'!I796+'Plan za unos u SAP'!I797+'Plan za unos u SAP'!I861+'Plan za unos u SAP'!I862+'Plan za unos u SAP'!I863+'Plan za unos u SAP'!I864+'Plan za unos u SAP'!I865+'Plan za unos u SAP'!I866</f>
        <v>0</v>
      </c>
      <c r="M11" s="60">
        <f>'Plan za unos u SAP'!I515+'Plan za unos u SAP'!I516+'Plan za unos u SAP'!I526+'Plan za unos u SAP'!I527+'Plan za unos u SAP'!I528+'Plan za unos u SAP'!I529+'Plan za unos u SAP'!I530</f>
        <v>5858</v>
      </c>
      <c r="N11" s="60">
        <v>0</v>
      </c>
      <c r="O11" s="60">
        <f>'Plan za unos u SAP'!I555</f>
        <v>0</v>
      </c>
      <c r="P11" s="60">
        <v>0</v>
      </c>
      <c r="Q11" s="82">
        <f>'Plan za unos u SAP'!G27+'Plan za unos u SAP'!G28+'Plan za unos u SAP'!G29+'Plan za unos u SAP'!G30+'Plan za unos u SAP'!G31+'Plan za unos u SAP'!G32+'Plan za unos u SAP'!G98+'Plan za unos u SAP'!G99+'Plan za unos u SAP'!G100+'Plan za unos u SAP'!G101+'Plan za unos u SAP'!G102+'Plan za unos u SAP'!G103+'Plan za unos u SAP'!G166+'Plan za unos u SAP'!G167+'Plan za unos u SAP'!G168+'Plan za unos u SAP'!G169+'Plan za unos u SAP'!G170+'Plan za unos u SAP'!G171+'Plan za unos u SAP'!G234+'Plan za unos u SAP'!G235+'Plan za unos u SAP'!G236+'Plan za unos u SAP'!G237+'Plan za unos u SAP'!G238+'Plan za unos u SAP'!G239+'Plan za unos u SAP'!G295+'Plan za unos u SAP'!G314+'Plan za unos u SAP'!G315+'Plan za unos u SAP'!G316+'Plan za unos u SAP'!G317+'Plan za unos u SAP'!G318+'Plan za unos u SAP'!G319+'Plan za unos u SAP'!G384+'Plan za unos u SAP'!G385+'Plan za unos u SAP'!G386+'Plan za unos u SAP'!G387+'Plan za unos u SAP'!G388+'Plan za unos u SAP'!G389+'Plan za unos u SAP'!G454+'Plan za unos u SAP'!G455+'Plan za unos u SAP'!G456+'Plan za unos u SAP'!G457+'Plan za unos u SAP'!G458+'Plan za unos u SAP'!G459+'Plan za unos u SAP'!G515+'Plan za unos u SAP'!G516+'Plan za unos u SAP'!G526+'Plan za unos u SAP'!G527+'Plan za unos u SAP'!G528+'Plan za unos u SAP'!G529+'Plan za unos u SAP'!G530+'Plan za unos u SAP'!G555+'Plan za unos u SAP'!G572+'Plan za unos u SAP'!G573+'Plan za unos u SAP'!G574+'Plan za unos u SAP'!G575+'Plan za unos u SAP'!G576+'Plan za unos u SAP'!G577+'Plan za unos u SAP'!G641+'Plan za unos u SAP'!G642+'Plan za unos u SAP'!G643+'Plan za unos u SAP'!G644+'Plan za unos u SAP'!G645+'Plan za unos u SAP'!G646+'Plan za unos u SAP'!G717+'Plan za unos u SAP'!G718+'Plan za unos u SAP'!G719+'Plan za unos u SAP'!G720+'Plan za unos u SAP'!G721+'Plan za unos u SAP'!G722+'Plan za unos u SAP'!G792+'Plan za unos u SAP'!G793+'Plan za unos u SAP'!G794+'Plan za unos u SAP'!G795+'Plan za unos u SAP'!G796+'Plan za unos u SAP'!G797+'Plan za unos u SAP'!G861+'Plan za unos u SAP'!G862+'Plan za unos u SAP'!G863+'Plan za unos u SAP'!G864+'Plan za unos u SAP'!G865+'Plan za unos u SAP'!G866</f>
        <v>836000</v>
      </c>
      <c r="R11" s="82">
        <f>'Plan za unos u SAP'!H27+'Plan za unos u SAP'!H28+'Plan za unos u SAP'!H29+'Plan za unos u SAP'!H30+'Plan za unos u SAP'!H31+'Plan za unos u SAP'!H32+'Plan za unos u SAP'!H98+'Plan za unos u SAP'!H99+'Plan za unos u SAP'!H100+'Plan za unos u SAP'!H101+'Plan za unos u SAP'!H102+'Plan za unos u SAP'!H103+'Plan za unos u SAP'!H166+'Plan za unos u SAP'!H167+'Plan za unos u SAP'!H168+'Plan za unos u SAP'!H169+'Plan za unos u SAP'!H170+'Plan za unos u SAP'!H171+'Plan za unos u SAP'!H234+'Plan za unos u SAP'!H235+'Plan za unos u SAP'!H236+'Plan za unos u SAP'!H237+'Plan za unos u SAP'!H238+'Plan za unos u SAP'!H239+'Plan za unos u SAP'!H295+'Plan za unos u SAP'!H314+'Plan za unos u SAP'!H315+'Plan za unos u SAP'!H316+'Plan za unos u SAP'!H317+'Plan za unos u SAP'!H318+'Plan za unos u SAP'!H319+'Plan za unos u SAP'!H384+'Plan za unos u SAP'!H385+'Plan za unos u SAP'!H386+'Plan za unos u SAP'!H387+'Plan za unos u SAP'!H388+'Plan za unos u SAP'!H389+'Plan za unos u SAP'!H454+'Plan za unos u SAP'!H455+'Plan za unos u SAP'!H456+'Plan za unos u SAP'!H457+'Plan za unos u SAP'!H458+'Plan za unos u SAP'!H459+'Plan za unos u SAP'!H515+'Plan za unos u SAP'!H516+'Plan za unos u SAP'!H526+'Plan za unos u SAP'!H527+'Plan za unos u SAP'!H528+'Plan za unos u SAP'!H529+'Plan za unos u SAP'!H530+'Plan za unos u SAP'!H555+'Plan za unos u SAP'!H572+'Plan za unos u SAP'!H573+'Plan za unos u SAP'!H574+'Plan za unos u SAP'!H575+'Plan za unos u SAP'!H576+'Plan za unos u SAP'!H577+'Plan za unos u SAP'!H641+'Plan za unos u SAP'!H642+'Plan za unos u SAP'!H643+'Plan za unos u SAP'!H644+'Plan za unos u SAP'!H645+'Plan za unos u SAP'!H646+'Plan za unos u SAP'!H717+'Plan za unos u SAP'!H718+'Plan za unos u SAP'!H719+'Plan za unos u SAP'!H720+'Plan za unos u SAP'!H721+'Plan za unos u SAP'!H722+'Plan za unos u SAP'!H792+'Plan za unos u SAP'!H793+'Plan za unos u SAP'!H794+'Plan za unos u SAP'!H795+'Plan za unos u SAP'!H796+'Plan za unos u SAP'!H797+'Plan za unos u SAP'!H861+'Plan za unos u SAP'!H862+'Plan za unos u SAP'!H863+'Plan za unos u SAP'!H864+'Plan za unos u SAP'!H865+'Plan za unos u SAP'!H866</f>
        <v>717589.40999999992</v>
      </c>
      <c r="S11" s="86">
        <f t="shared" si="6"/>
        <v>101.54162679425838</v>
      </c>
      <c r="U11" s="81"/>
    </row>
    <row r="12" spans="1:21">
      <c r="A12" s="64">
        <v>323</v>
      </c>
      <c r="B12" s="62" t="s">
        <v>627</v>
      </c>
      <c r="C12" s="63">
        <f t="shared" si="2"/>
        <v>3327336</v>
      </c>
      <c r="D12" s="60">
        <f>'Plan za unos u SAP'!I11+'Plan za unos u SAP'!I33+'Plan za unos u SAP'!I34+'Plan za unos u SAP'!I35+'Plan za unos u SAP'!I36+'Plan za unos u SAP'!I37+'Plan za unos u SAP'!I38+'Plan za unos u SAP'!I39+'Plan za unos u SAP'!I40+'Plan za unos u SAP'!I41+'Plan za unos u SAP'!I83</f>
        <v>1965252</v>
      </c>
      <c r="E12" s="60">
        <f>'Plan za unos u SAP'!I578+'Plan za unos u SAP'!I579+'Plan za unos u SAP'!I580+'Plan za unos u SAP'!I581+'Plan za unos u SAP'!I582+'Plan za unos u SAP'!I583+'Plan za unos u SAP'!I584+'Plan za unos u SAP'!I585+'Plan za unos u SAP'!I586+'Plan za unos u SAP'!I647+'Plan za unos u SAP'!I648+'Plan za unos u SAP'!I649+'Plan za unos u SAP'!I650+'Plan za unos u SAP'!I651+'Plan za unos u SAP'!I652+'Plan za unos u SAP'!I653+'Plan za unos u SAP'!I654+'Plan za unos u SAP'!I655+'Plan za unos u SAP'!I698+'Plan za unos u SAP'!I699+'Plan za unos u SAP'!I700</f>
        <v>0</v>
      </c>
      <c r="F12" s="60">
        <f>'Plan za unos u SAP'!I104+'Plan za unos u SAP'!I105+'Plan za unos u SAP'!I106+'Plan za unos u SAP'!I107+'Plan za unos u SAP'!I108+'Plan za unos u SAP'!I109+'Plan za unos u SAP'!I110+'Plan za unos u SAP'!I111+'Plan za unos u SAP'!I112</f>
        <v>235000</v>
      </c>
      <c r="G12" s="60">
        <f>'Plan za unos u SAP'!I172+'Plan za unos u SAP'!I173+'Plan za unos u SAP'!I174+'Plan za unos u SAP'!I175+'Plan za unos u SAP'!I176+'Plan za unos u SAP'!I177+'Plan za unos u SAP'!I178+'Plan za unos u SAP'!I179+'Plan za unos u SAP'!I180+'Plan za unos u SAP'!I240+'Plan za unos u SAP'!I241+'Plan za unos u SAP'!I242+'Plan za unos u SAP'!I243+'Plan za unos u SAP'!I244+'Plan za unos u SAP'!I245+'Plan za unos u SAP'!I246+'Plan za unos u SAP'!I247+'Plan za unos u SAP'!I248</f>
        <v>362000</v>
      </c>
      <c r="H12" s="60">
        <f>'Plan za unos u SAP'!I296+'Plan za unos u SAP'!I320+'Plan za unos u SAP'!I321+'Plan za unos u SAP'!I322+'Plan za unos u SAP'!I323+'Plan za unos u SAP'!I324+'Plan za unos u SAP'!I325+'Plan za unos u SAP'!I326+'Plan za unos u SAP'!I327+'Plan za unos u SAP'!I328</f>
        <v>30202</v>
      </c>
      <c r="I12" s="60">
        <f>'Plan za unos u SAP'!I390+'Plan za unos u SAP'!I391+'Plan za unos u SAP'!I392+'Plan za unos u SAP'!I393+'Plan za unos u SAP'!I394+'Plan za unos u SAP'!I395+'Plan za unos u SAP'!I396+'Plan za unos u SAP'!I397+'Plan za unos u SAP'!I398+'Plan za unos u SAP'!I460+'Plan za unos u SAP'!I461+'Plan za unos u SAP'!I462+'Plan za unos u SAP'!I463+'Plan za unos u SAP'!I464+'Plan za unos u SAP'!I465+'Plan za unos u SAP'!I466+'Plan za unos u SAP'!I467+'Plan za unos u SAP'!I468</f>
        <v>734882</v>
      </c>
      <c r="J12" s="60">
        <v>0</v>
      </c>
      <c r="K12" s="60">
        <f>'Plan za unos u SAP'!I723+'Plan za unos u SAP'!I724+'Plan za unos u SAP'!I725+'Plan za unos u SAP'!I726+'Plan za unos u SAP'!I727+'Plan za unos u SAP'!I728+'Plan za unos u SAP'!I729+'Plan za unos u SAP'!I730+'Plan za unos u SAP'!I731</f>
        <v>0</v>
      </c>
      <c r="L12" s="60">
        <f>'Plan za unos u SAP'!I798+'Plan za unos u SAP'!I799+'Plan za unos u SAP'!I800+'Plan za unos u SAP'!I801+'Plan za unos u SAP'!I802+'Plan za unos u SAP'!I803+'Plan za unos u SAP'!I804+'Plan za unos u SAP'!I805+'Plan za unos u SAP'!I806+'Plan za unos u SAP'!I867+'Plan za unos u SAP'!I868+'Plan za unos u SAP'!I869+'Plan za unos u SAP'!I870+'Plan za unos u SAP'!I871+'Plan za unos u SAP'!I872+'Plan za unos u SAP'!I873+'Plan za unos u SAP'!I874+'Plan za unos u SAP'!I875+'Plan za unos u SAP'!I774+'Plan za unos u SAP'!I775+'Plan za unos u SAP'!I776</f>
        <v>0</v>
      </c>
      <c r="M12" s="60">
        <f>'Plan za unos u SAP'!I517+'Plan za unos u SAP'!I531+'Plan za unos u SAP'!I532+'Plan za unos u SAP'!I533+'Plan za unos u SAP'!I534+'Plan za unos u SAP'!I535+'Plan za unos u SAP'!I536+'Plan za unos u SAP'!I537</f>
        <v>0</v>
      </c>
      <c r="N12" s="60">
        <v>0</v>
      </c>
      <c r="O12" s="60">
        <v>0</v>
      </c>
      <c r="P12" s="60">
        <v>0</v>
      </c>
      <c r="Q12" s="82">
        <f>'Plan za unos u SAP'!G11+'Plan za unos u SAP'!G33+'Plan za unos u SAP'!G34+'Plan za unos u SAP'!G35+'Plan za unos u SAP'!G36+'Plan za unos u SAP'!G37+'Plan za unos u SAP'!G38+'Plan za unos u SAP'!G39+'Plan za unos u SAP'!G40+'Plan za unos u SAP'!G41+'Plan za unos u SAP'!G83+'Plan za unos u SAP'!G104+'Plan za unos u SAP'!G105+'Plan za unos u SAP'!G106+'Plan za unos u SAP'!G107+'Plan za unos u SAP'!G108+'Plan za unos u SAP'!G109+'Plan za unos u SAP'!G110+'Plan za unos u SAP'!G111+'Plan za unos u SAP'!G112+'Plan za unos u SAP'!G172+'Plan za unos u SAP'!G173+'Plan za unos u SAP'!G174+'Plan za unos u SAP'!G175+'Plan za unos u SAP'!G176+'Plan za unos u SAP'!G177+'Plan za unos u SAP'!G178+'Plan za unos u SAP'!G179+'Plan za unos u SAP'!G180+'Plan za unos u SAP'!G240+'Plan za unos u SAP'!G241+'Plan za unos u SAP'!G242+'Plan za unos u SAP'!G243+'Plan za unos u SAP'!G244+'Plan za unos u SAP'!G245+'Plan za unos u SAP'!G246+'Plan za unos u SAP'!G247+'Plan za unos u SAP'!G248+'Plan za unos u SAP'!G296+'Plan za unos u SAP'!G320+'Plan za unos u SAP'!G321+'Plan za unos u SAP'!G322+'Plan za unos u SAP'!G323+'Plan za unos u SAP'!G324+'Plan za unos u SAP'!G325+'Plan za unos u SAP'!G326+'Plan za unos u SAP'!G327+'Plan za unos u SAP'!G328+'Plan za unos u SAP'!G390+'Plan za unos u SAP'!G391+'Plan za unos u SAP'!G392+'Plan za unos u SAP'!G393+'Plan za unos u SAP'!G394+'Plan za unos u SAP'!G395+'Plan za unos u SAP'!G396+'Plan za unos u SAP'!G397+'Plan za unos u SAP'!G398+'Plan za unos u SAP'!G460+'Plan za unos u SAP'!G461+'Plan za unos u SAP'!G462+'Plan za unos u SAP'!G463+'Plan za unos u SAP'!G464+'Plan za unos u SAP'!G465+'Plan za unos u SAP'!G466+'Plan za unos u SAP'!G467+'Plan za unos u SAP'!G468+'Plan za unos u SAP'!G517+'Plan za unos u SAP'!G531+'Plan za unos u SAP'!G532+'Plan za unos u SAP'!G533+'Plan za unos u SAP'!G534+'Plan za unos u SAP'!G535+'Plan za unos u SAP'!G536+'Plan za unos u SAP'!G537+'Plan za unos u SAP'!G578+'Plan za unos u SAP'!G579+'Plan za unos u SAP'!G580+'Plan za unos u SAP'!G581+'Plan za unos u SAP'!G582+'Plan za unos u SAP'!G583+'Plan za unos u SAP'!G584+'Plan za unos u SAP'!G585+'Plan za unos u SAP'!G586+'Plan za unos u SAP'!G647+'Plan za unos u SAP'!G648+'Plan za unos u SAP'!G649+'Plan za unos u SAP'!G650+'Plan za unos u SAP'!G651+'Plan za unos u SAP'!G652+'Plan za unos u SAP'!G653+'Plan za unos u SAP'!G654+'Plan za unos u SAP'!G655+'Plan za unos u SAP'!G698+'Plan za unos u SAP'!G699+'Plan za unos u SAP'!G700+'Plan za unos u SAP'!G723+'Plan za unos u SAP'!G724+'Plan za unos u SAP'!G725+'Plan za unos u SAP'!G726+'Plan za unos u SAP'!G727+'Plan za unos u SAP'!G728+'Plan za unos u SAP'!G729+'Plan za unos u SAP'!G730+'Plan za unos u SAP'!G731+'Plan za unos u SAP'!G774+'Plan za unos u SAP'!G775+'Plan za unos u SAP'!G776+'Plan za unos u SAP'!G798+'Plan za unos u SAP'!G799+'Plan za unos u SAP'!G800+'Plan za unos u SAP'!G801+'Plan za unos u SAP'!G802+'Plan za unos u SAP'!G803+'Plan za unos u SAP'!G804+'Plan za unos u SAP'!G805+'Plan za unos u SAP'!G806+'Plan za unos u SAP'!G867+'Plan za unos u SAP'!G868+'Plan za unos u SAP'!G869+'Plan za unos u SAP'!G870+'Plan za unos u SAP'!G871+'Plan za unos u SAP'!G872+'Plan za unos u SAP'!G873+'Plan za unos u SAP'!G874+'Plan za unos u SAP'!G875</f>
        <v>2044543</v>
      </c>
      <c r="R12" s="82">
        <f>'Plan za unos u SAP'!H11+'Plan za unos u SAP'!H33+'Plan za unos u SAP'!H34+'Plan za unos u SAP'!H35+'Plan za unos u SAP'!H36+'Plan za unos u SAP'!H37+'Plan za unos u SAP'!H38+'Plan za unos u SAP'!H39+'Plan za unos u SAP'!H40+'Plan za unos u SAP'!H41+'Plan za unos u SAP'!H83+'Plan za unos u SAP'!H104+'Plan za unos u SAP'!H105+'Plan za unos u SAP'!H106+'Plan za unos u SAP'!H107+'Plan za unos u SAP'!H108+'Plan za unos u SAP'!H109+'Plan za unos u SAP'!H110+'Plan za unos u SAP'!H111+'Plan za unos u SAP'!H112+'Plan za unos u SAP'!H172+'Plan za unos u SAP'!H173+'Plan za unos u SAP'!H174+'Plan za unos u SAP'!H175+'Plan za unos u SAP'!H176+'Plan za unos u SAP'!H177+'Plan za unos u SAP'!H178+'Plan za unos u SAP'!H179+'Plan za unos u SAP'!H180+'Plan za unos u SAP'!H240+'Plan za unos u SAP'!H241+'Plan za unos u SAP'!H242+'Plan za unos u SAP'!H243+'Plan za unos u SAP'!H244+'Plan za unos u SAP'!H245+'Plan za unos u SAP'!H246+'Plan za unos u SAP'!H247+'Plan za unos u SAP'!H248+'Plan za unos u SAP'!H296+'Plan za unos u SAP'!H320+'Plan za unos u SAP'!H321+'Plan za unos u SAP'!H322+'Plan za unos u SAP'!H323+'Plan za unos u SAP'!H324+'Plan za unos u SAP'!H325+'Plan za unos u SAP'!H326+'Plan za unos u SAP'!H327+'Plan za unos u SAP'!H328+'Plan za unos u SAP'!H390+'Plan za unos u SAP'!H391+'Plan za unos u SAP'!H392+'Plan za unos u SAP'!H393+'Plan za unos u SAP'!H394+'Plan za unos u SAP'!H395+'Plan za unos u SAP'!H396+'Plan za unos u SAP'!H397+'Plan za unos u SAP'!H398+'Plan za unos u SAP'!H460+'Plan za unos u SAP'!H461+'Plan za unos u SAP'!H462+'Plan za unos u SAP'!H463+'Plan za unos u SAP'!H464+'Plan za unos u SAP'!H465+'Plan za unos u SAP'!H466+'Plan za unos u SAP'!H467+'Plan za unos u SAP'!H468+'Plan za unos u SAP'!H517+'Plan za unos u SAP'!H531+'Plan za unos u SAP'!H532+'Plan za unos u SAP'!H533+'Plan za unos u SAP'!H534+'Plan za unos u SAP'!H535+'Plan za unos u SAP'!H536+'Plan za unos u SAP'!H537+'Plan za unos u SAP'!H578+'Plan za unos u SAP'!H579+'Plan za unos u SAP'!H580+'Plan za unos u SAP'!H581+'Plan za unos u SAP'!H582+'Plan za unos u SAP'!H583+'Plan za unos u SAP'!H584+'Plan za unos u SAP'!H585+'Plan za unos u SAP'!H586+'Plan za unos u SAP'!H647+'Plan za unos u SAP'!H648+'Plan za unos u SAP'!H649+'Plan za unos u SAP'!H650+'Plan za unos u SAP'!H651+'Plan za unos u SAP'!H652+'Plan za unos u SAP'!H653+'Plan za unos u SAP'!H654+'Plan za unos u SAP'!H655+'Plan za unos u SAP'!H698+'Plan za unos u SAP'!H699+'Plan za unos u SAP'!H700+'Plan za unos u SAP'!H723+'Plan za unos u SAP'!H724+'Plan za unos u SAP'!H725+'Plan za unos u SAP'!H726+'Plan za unos u SAP'!H727+'Plan za unos u SAP'!H728+'Plan za unos u SAP'!H729+'Plan za unos u SAP'!H730+'Plan za unos u SAP'!H731+'Plan za unos u SAP'!H774+'Plan za unos u SAP'!H775+'Plan za unos u SAP'!H776+'Plan za unos u SAP'!H798+'Plan za unos u SAP'!H799+'Plan za unos u SAP'!H800+'Plan za unos u SAP'!H801+'Plan za unos u SAP'!H802+'Plan za unos u SAP'!H803+'Plan za unos u SAP'!H804+'Plan za unos u SAP'!H805+'Plan za unos u SAP'!H806+'Plan za unos u SAP'!H867+'Plan za unos u SAP'!H868+'Plan za unos u SAP'!H869+'Plan za unos u SAP'!H870+'Plan za unos u SAP'!H871+'Plan za unos u SAP'!H872+'Plan za unos u SAP'!H873+'Plan za unos u SAP'!H874+'Plan za unos u SAP'!H875</f>
        <v>3078206.06</v>
      </c>
      <c r="S12" s="86">
        <f t="shared" si="6"/>
        <v>162.74228519527347</v>
      </c>
      <c r="U12" s="81"/>
    </row>
    <row r="13" spans="1:21">
      <c r="A13" s="64">
        <v>324</v>
      </c>
      <c r="B13" s="68" t="s">
        <v>67</v>
      </c>
      <c r="C13" s="63">
        <f t="shared" si="2"/>
        <v>197667</v>
      </c>
      <c r="D13" s="60">
        <f>'Plan za unos u SAP'!I42</f>
        <v>105000</v>
      </c>
      <c r="E13" s="60">
        <f>'Plan za unos u SAP'!I587+'Plan za unos u SAP'!I656</f>
        <v>0</v>
      </c>
      <c r="F13" s="60">
        <f>'Plan za unos u SAP'!I113</f>
        <v>25000</v>
      </c>
      <c r="G13" s="60">
        <f>'Plan za unos u SAP'!I181+'Plan za unos u SAP'!I249</f>
        <v>8000</v>
      </c>
      <c r="H13" s="60">
        <f>'Plan za unos u SAP'!I297+'Plan za unos u SAP'!I329</f>
        <v>0</v>
      </c>
      <c r="I13" s="60">
        <f>'Plan za unos u SAP'!I399+'Plan za unos u SAP'!I469</f>
        <v>59667</v>
      </c>
      <c r="J13" s="60">
        <v>0</v>
      </c>
      <c r="K13" s="60">
        <f>'Plan za unos u SAP'!I732</f>
        <v>0</v>
      </c>
      <c r="L13" s="60">
        <f>'Plan za unos u SAP'!I807+'Plan za unos u SAP'!I876</f>
        <v>0</v>
      </c>
      <c r="M13" s="60">
        <f>'Plan za unos u SAP'!I538</f>
        <v>0</v>
      </c>
      <c r="N13" s="60">
        <v>0</v>
      </c>
      <c r="O13" s="60">
        <v>0</v>
      </c>
      <c r="P13" s="60">
        <v>0</v>
      </c>
      <c r="Q13" s="82">
        <f>'Plan za unos u SAP'!G42+'Plan za unos u SAP'!G113+'Plan za unos u SAP'!G181+'Plan za unos u SAP'!G249+'Plan za unos u SAP'!G297+'Plan za unos u SAP'!G329+'Plan za unos u SAP'!G399+'Plan za unos u SAP'!G469+'Plan za unos u SAP'!G538+'Plan za unos u SAP'!G587+'Plan za unos u SAP'!G656+'Plan za unos u SAP'!G732+'Plan za unos u SAP'!G807+'Plan za unos u SAP'!G876</f>
        <v>175000</v>
      </c>
      <c r="R13" s="82">
        <f>'Plan za unos u SAP'!H42+'Plan za unos u SAP'!H113+'Plan za unos u SAP'!H181+'Plan za unos u SAP'!H249+'Plan za unos u SAP'!H297+'Plan za unos u SAP'!H329+'Plan za unos u SAP'!H399+'Plan za unos u SAP'!H469+'Plan za unos u SAP'!H538+'Plan za unos u SAP'!H587+'Plan za unos u SAP'!H656+'Plan za unos u SAP'!H732+'Plan za unos u SAP'!H807+'Plan za unos u SAP'!H876</f>
        <v>181833.18</v>
      </c>
      <c r="S13" s="86">
        <f t="shared" si="6"/>
        <v>112.95257142857142</v>
      </c>
      <c r="U13" s="81"/>
    </row>
    <row r="14" spans="1:21">
      <c r="A14" s="64">
        <v>329</v>
      </c>
      <c r="B14" s="62" t="s">
        <v>57</v>
      </c>
      <c r="C14" s="63">
        <f t="shared" si="2"/>
        <v>517759</v>
      </c>
      <c r="D14" s="60">
        <f>'Plan za unos u SAP'!I12+'Plan za unos u SAP'!I13+'Plan za unos u SAP'!I43+'Plan za unos u SAP'!I44+'Plan za unos u SAP'!I45+'Plan za unos u SAP'!I46+'Plan za unos u SAP'!I47+'Plan za unos u SAP'!I48+'Plan za unos u SAP'!I49</f>
        <v>173830</v>
      </c>
      <c r="E14" s="60">
        <f>'Plan za unos u SAP'!I588+'Plan za unos u SAP'!I589+'Plan za unos u SAP'!I590+'Plan za unos u SAP'!I591+'Plan za unos u SAP'!I592+'Plan za unos u SAP'!I593+'Plan za unos u SAP'!I594+'Plan za unos u SAP'!I657+'Plan za unos u SAP'!I658+'Plan za unos u SAP'!I659+'Plan za unos u SAP'!I660+'Plan za unos u SAP'!I661+'Plan za unos u SAP'!I662+'Plan za unos u SAP'!I663+'Plan za unos u SAP'!I701</f>
        <v>0</v>
      </c>
      <c r="F14" s="60">
        <f>'Plan za unos u SAP'!I114+'Plan za unos u SAP'!I115+'Plan za unos u SAP'!I116+'Plan za unos u SAP'!I117+'Plan za unos u SAP'!I118+'Plan za unos u SAP'!I119+'Plan za unos u SAP'!I120</f>
        <v>95000</v>
      </c>
      <c r="G14" s="60">
        <f>'Plan za unos u SAP'!I182+'Plan za unos u SAP'!I183+'Plan za unos u SAP'!I184+'Plan za unos u SAP'!I185+'Plan za unos u SAP'!I186+'Plan za unos u SAP'!I187+'Plan za unos u SAP'!I188+'Plan za unos u SAP'!I250+'Plan za unos u SAP'!I251+'Plan za unos u SAP'!I252+'Plan za unos u SAP'!I253+'Plan za unos u SAP'!I254+'Plan za unos u SAP'!I255+'Plan za unos u SAP'!I256</f>
        <v>205000</v>
      </c>
      <c r="H14" s="60">
        <f>'Plan za unos u SAP'!I330+'Plan za unos u SAP'!I331+'Plan za unos u SAP'!I332+'Plan za unos u SAP'!I333+'Plan za unos u SAP'!I334+'Plan za unos u SAP'!I335+'Plan za unos u SAP'!I336</f>
        <v>0</v>
      </c>
      <c r="I14" s="60">
        <f>'Plan za unos u SAP'!I400+'Plan za unos u SAP'!I401+'Plan za unos u SAP'!I402+'Plan za unos u SAP'!I403+'Plan za unos u SAP'!I404+'Plan za unos u SAP'!I405+'Plan za unos u SAP'!I406+'Plan za unos u SAP'!I470+'Plan za unos u SAP'!I471+'Plan za unos u SAP'!I472+'Plan za unos u SAP'!I473+'Plan za unos u SAP'!I474+'Plan za unos u SAP'!I475+'Plan za unos u SAP'!I476</f>
        <v>39429</v>
      </c>
      <c r="J14" s="60">
        <v>0</v>
      </c>
      <c r="K14" s="60">
        <f>'Plan za unos u SAP'!I733+'Plan za unos u SAP'!I734+'Plan za unos u SAP'!I735+'Plan za unos u SAP'!I736+'Plan za unos u SAP'!I737+'Plan za unos u SAP'!I738+'Plan za unos u SAP'!I739</f>
        <v>0</v>
      </c>
      <c r="L14" s="60">
        <f>'Plan za unos u SAP'!I777+'Plan za unos u SAP'!I808+'Plan za unos u SAP'!I809+'Plan za unos u SAP'!I810+'Plan za unos u SAP'!I811+'Plan za unos u SAP'!I812+'Plan za unos u SAP'!I813+'Plan za unos u SAP'!I814+'Plan za unos u SAP'!I877+'Plan za unos u SAP'!I878+'Plan za unos u SAP'!I879+'Plan za unos u SAP'!I880+'Plan za unos u SAP'!I881+'Plan za unos u SAP'!I882+'Plan za unos u SAP'!I883</f>
        <v>0</v>
      </c>
      <c r="M14" s="60">
        <f>'Plan za unos u SAP'!I539+'Plan za unos u SAP'!I540</f>
        <v>4500</v>
      </c>
      <c r="N14" s="60">
        <v>0</v>
      </c>
      <c r="O14" s="60">
        <v>0</v>
      </c>
      <c r="P14" s="60">
        <v>0</v>
      </c>
      <c r="Q14" s="82">
        <f>'Plan za unos u SAP'!G12+'Plan za unos u SAP'!G13+'Plan za unos u SAP'!G43+'Plan za unos u SAP'!G44+'Plan za unos u SAP'!G45+'Plan za unos u SAP'!G46+'Plan za unos u SAP'!G47+'Plan za unos u SAP'!G48+'Plan za unos u SAP'!G49+'Plan za unos u SAP'!G114+'Plan za unos u SAP'!G115+'Plan za unos u SAP'!G116+'Plan za unos u SAP'!G117+'Plan za unos u SAP'!G118+'Plan za unos u SAP'!G119+'Plan za unos u SAP'!G120+'Plan za unos u SAP'!G182+'Plan za unos u SAP'!G183+'Plan za unos u SAP'!G184+'Plan za unos u SAP'!G185+'Plan za unos u SAP'!G186+'Plan za unos u SAP'!G187+'Plan za unos u SAP'!G188+'Plan za unos u SAP'!G250+'Plan za unos u SAP'!G251+'Plan za unos u SAP'!G252+'Plan za unos u SAP'!G253+'Plan za unos u SAP'!G254+'Plan za unos u SAP'!G255+'Plan za unos u SAP'!G256+'Plan za unos u SAP'!G330+'Plan za unos u SAP'!G331+'Plan za unos u SAP'!G332+'Plan za unos u SAP'!G333+'Plan za unos u SAP'!G334+'Plan za unos u SAP'!G335+'Plan za unos u SAP'!G336+'Plan za unos u SAP'!G400+'Plan za unos u SAP'!G401+'Plan za unos u SAP'!G402+'Plan za unos u SAP'!G403+'Plan za unos u SAP'!G404+'Plan za unos u SAP'!G405+'Plan za unos u SAP'!G406+'Plan za unos u SAP'!G470+'Plan za unos u SAP'!G471+'Plan za unos u SAP'!G472+'Plan za unos u SAP'!G473+'Plan za unos u SAP'!G474+'Plan za unos u SAP'!G475+'Plan za unos u SAP'!G476+'Plan za unos u SAP'!G539+'Plan za unos u SAP'!G540+'Plan za unos u SAP'!G588+'Plan za unos u SAP'!G589+'Plan za unos u SAP'!G590+'Plan za unos u SAP'!G591+'Plan za unos u SAP'!G592+'Plan za unos u SAP'!G593+'Plan za unos u SAP'!G594+'Plan za unos u SAP'!G657+'Plan za unos u SAP'!G658+'Plan za unos u SAP'!G659+'Plan za unos u SAP'!G660+'Plan za unos u SAP'!G661+'Plan za unos u SAP'!G662+'Plan za unos u SAP'!G663+'Plan za unos u SAP'!G701+'Plan za unos u SAP'!G733+'Plan za unos u SAP'!G734+'Plan za unos u SAP'!G735+'Plan za unos u SAP'!G736+'Plan za unos u SAP'!G737+'Plan za unos u SAP'!G738+'Plan za unos u SAP'!G739+'Plan za unos u SAP'!G777+'Plan za unos u SAP'!G808+'Plan za unos u SAP'!G809+'Plan za unos u SAP'!G810+'Plan za unos u SAP'!G811+'Plan za unos u SAP'!G812+'Plan za unos u SAP'!G813+'Plan za unos u SAP'!G814+'Plan za unos u SAP'!G877+'Plan za unos u SAP'!G878+'Plan za unos u SAP'!G879+'Plan za unos u SAP'!G880+'Plan za unos u SAP'!G881+'Plan za unos u SAP'!G882+'Plan za unos u SAP'!G883</f>
        <v>362445</v>
      </c>
      <c r="R14" s="82">
        <f>'Plan za unos u SAP'!H12+'Plan za unos u SAP'!H13+'Plan za unos u SAP'!H43+'Plan za unos u SAP'!H44+'Plan za unos u SAP'!H45+'Plan za unos u SAP'!H46+'Plan za unos u SAP'!H47+'Plan za unos u SAP'!H48+'Plan za unos u SAP'!H49+'Plan za unos u SAP'!H114+'Plan za unos u SAP'!H115+'Plan za unos u SAP'!H116+'Plan za unos u SAP'!H117+'Plan za unos u SAP'!H118+'Plan za unos u SAP'!H119+'Plan za unos u SAP'!H120+'Plan za unos u SAP'!H182+'Plan za unos u SAP'!H183+'Plan za unos u SAP'!H184+'Plan za unos u SAP'!H185+'Plan za unos u SAP'!H186+'Plan za unos u SAP'!H187+'Plan za unos u SAP'!H188+'Plan za unos u SAP'!H250+'Plan za unos u SAP'!H251+'Plan za unos u SAP'!H252+'Plan za unos u SAP'!H253+'Plan za unos u SAP'!H254+'Plan za unos u SAP'!H255+'Plan za unos u SAP'!H256+'Plan za unos u SAP'!H330+'Plan za unos u SAP'!H331+'Plan za unos u SAP'!H332+'Plan za unos u SAP'!H333+'Plan za unos u SAP'!H334+'Plan za unos u SAP'!H335+'Plan za unos u SAP'!H336+'Plan za unos u SAP'!H400+'Plan za unos u SAP'!H401+'Plan za unos u SAP'!H402+'Plan za unos u SAP'!H403+'Plan za unos u SAP'!H404+'Plan za unos u SAP'!H405+'Plan za unos u SAP'!H406+'Plan za unos u SAP'!H470+'Plan za unos u SAP'!H471+'Plan za unos u SAP'!H472+'Plan za unos u SAP'!H473+'Plan za unos u SAP'!H474+'Plan za unos u SAP'!H475+'Plan za unos u SAP'!H476+'Plan za unos u SAP'!H539+'Plan za unos u SAP'!H540+'Plan za unos u SAP'!H588+'Plan za unos u SAP'!H589+'Plan za unos u SAP'!H590+'Plan za unos u SAP'!H591+'Plan za unos u SAP'!H592+'Plan za unos u SAP'!H593+'Plan za unos u SAP'!H594+'Plan za unos u SAP'!H657+'Plan za unos u SAP'!H658+'Plan za unos u SAP'!H659+'Plan za unos u SAP'!H660+'Plan za unos u SAP'!H661+'Plan za unos u SAP'!H662+'Plan za unos u SAP'!H663+'Plan za unos u SAP'!H701+'Plan za unos u SAP'!H733+'Plan za unos u SAP'!H734+'Plan za unos u SAP'!H735+'Plan za unos u SAP'!H736+'Plan za unos u SAP'!H737+'Plan za unos u SAP'!H738+'Plan za unos u SAP'!H739+'Plan za unos u SAP'!H777+'Plan za unos u SAP'!H808+'Plan za unos u SAP'!H809+'Plan za unos u SAP'!H810+'Plan za unos u SAP'!H811+'Plan za unos u SAP'!H812+'Plan za unos u SAP'!H813+'Plan za unos u SAP'!H814+'Plan za unos u SAP'!H877+'Plan za unos u SAP'!H878+'Plan za unos u SAP'!H879+'Plan za unos u SAP'!H880+'Plan za unos u SAP'!H881+'Plan za unos u SAP'!H882+'Plan za unos u SAP'!H883</f>
        <v>397559.23</v>
      </c>
      <c r="S14" s="86">
        <f t="shared" si="6"/>
        <v>142.85174302307937</v>
      </c>
      <c r="U14" s="81"/>
    </row>
    <row r="15" spans="1:21">
      <c r="A15" s="65">
        <v>34</v>
      </c>
      <c r="B15" s="66" t="s">
        <v>628</v>
      </c>
      <c r="C15" s="67">
        <f t="shared" si="2"/>
        <v>40642</v>
      </c>
      <c r="D15" s="67">
        <f t="shared" ref="D15:R15" si="13">SUM(D16:D18)</f>
        <v>31818</v>
      </c>
      <c r="E15" s="67">
        <f t="shared" si="13"/>
        <v>0</v>
      </c>
      <c r="F15" s="67">
        <f t="shared" si="13"/>
        <v>300</v>
      </c>
      <c r="G15" s="67">
        <f t="shared" si="13"/>
        <v>8200</v>
      </c>
      <c r="H15" s="67">
        <f t="shared" si="13"/>
        <v>0</v>
      </c>
      <c r="I15" s="67">
        <f t="shared" si="13"/>
        <v>224</v>
      </c>
      <c r="J15" s="67">
        <f t="shared" ref="J15" si="14">SUM(J16:J18)</f>
        <v>0</v>
      </c>
      <c r="K15" s="67">
        <f t="shared" si="13"/>
        <v>0</v>
      </c>
      <c r="L15" s="67">
        <f t="shared" si="13"/>
        <v>0</v>
      </c>
      <c r="M15" s="67">
        <f t="shared" si="13"/>
        <v>100</v>
      </c>
      <c r="N15" s="67">
        <f t="shared" si="13"/>
        <v>0</v>
      </c>
      <c r="O15" s="67">
        <f t="shared" si="13"/>
        <v>0</v>
      </c>
      <c r="P15" s="67">
        <f t="shared" si="13"/>
        <v>0</v>
      </c>
      <c r="Q15" s="67">
        <f t="shared" si="13"/>
        <v>37594</v>
      </c>
      <c r="R15" s="67">
        <f t="shared" si="13"/>
        <v>36692.389999999992</v>
      </c>
      <c r="S15" s="85">
        <f t="shared" si="6"/>
        <v>108.10767675692929</v>
      </c>
      <c r="U15" s="81"/>
    </row>
    <row r="16" spans="1:21">
      <c r="A16" s="69">
        <v>341</v>
      </c>
      <c r="B16" s="62" t="s">
        <v>629</v>
      </c>
      <c r="C16" s="63">
        <f t="shared" si="2"/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82">
        <v>0</v>
      </c>
      <c r="R16" s="82">
        <v>0</v>
      </c>
      <c r="S16" s="86" t="e">
        <f t="shared" si="6"/>
        <v>#DIV/0!</v>
      </c>
      <c r="U16" s="81"/>
    </row>
    <row r="17" spans="1:21">
      <c r="A17" s="69">
        <v>342</v>
      </c>
      <c r="B17" s="62" t="s">
        <v>630</v>
      </c>
      <c r="C17" s="63">
        <f t="shared" si="2"/>
        <v>0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0</v>
      </c>
      <c r="O17" s="60">
        <v>0</v>
      </c>
      <c r="P17" s="60">
        <v>0</v>
      </c>
      <c r="Q17" s="82">
        <v>0</v>
      </c>
      <c r="R17" s="82">
        <v>0</v>
      </c>
      <c r="S17" s="86" t="e">
        <f t="shared" si="6"/>
        <v>#DIV/0!</v>
      </c>
      <c r="U17" s="81"/>
    </row>
    <row r="18" spans="1:21">
      <c r="A18" s="69">
        <v>343</v>
      </c>
      <c r="B18" s="62" t="s">
        <v>631</v>
      </c>
      <c r="C18" s="63">
        <f t="shared" si="2"/>
        <v>40642</v>
      </c>
      <c r="D18" s="60">
        <f>'Plan za unos u SAP'!I50+'Plan za unos u SAP'!I51+'Plan za unos u SAP'!I52+'Plan za unos u SAP'!I53</f>
        <v>31818</v>
      </c>
      <c r="E18" s="60">
        <f>'Plan za unos u SAP'!I595+'Plan za unos u SAP'!I596+'Plan za unos u SAP'!I597+'Plan za unos u SAP'!I598+'Plan za unos u SAP'!I664+'Plan za unos u SAP'!I665+'Plan za unos u SAP'!I666+'Plan za unos u SAP'!I667</f>
        <v>0</v>
      </c>
      <c r="F18" s="60">
        <f>'Plan za unos u SAP'!I121+'Plan za unos u SAP'!I122+'Plan za unos u SAP'!I123+'Plan za unos u SAP'!I124</f>
        <v>300</v>
      </c>
      <c r="G18" s="60">
        <f>'Plan za unos u SAP'!I189+'Plan za unos u SAP'!I190+'Plan za unos u SAP'!I191+'Plan za unos u SAP'!I192+'Plan za unos u SAP'!I257+'Plan za unos u SAP'!I258+'Plan za unos u SAP'!I259+'Plan za unos u SAP'!I260</f>
        <v>8200</v>
      </c>
      <c r="H18" s="60">
        <f>'Plan za unos u SAP'!I337+'Plan za unos u SAP'!I338+'Plan za unos u SAP'!I339+'Plan za unos u SAP'!I340</f>
        <v>0</v>
      </c>
      <c r="I18" s="60">
        <f>'Plan za unos u SAP'!I407+'Plan za unos u SAP'!I408+'Plan za unos u SAP'!I409+'Plan za unos u SAP'!I410+'Plan za unos u SAP'!I477+'Plan za unos u SAP'!I478+'Plan za unos u SAP'!I479+'Plan za unos u SAP'!I480</f>
        <v>224</v>
      </c>
      <c r="J18" s="60">
        <v>0</v>
      </c>
      <c r="K18" s="60">
        <f>'Plan za unos u SAP'!I740+'Plan za unos u SAP'!I741+'Plan za unos u SAP'!I742+'Plan za unos u SAP'!I743</f>
        <v>0</v>
      </c>
      <c r="L18" s="60">
        <f>'Plan za unos u SAP'!I815+'Plan za unos u SAP'!I816+'Plan za unos u SAP'!I817+'Plan za unos u SAP'!I818+'Plan za unos u SAP'!I884+'Plan za unos u SAP'!I885+'Plan za unos u SAP'!I886+'Plan za unos u SAP'!I887</f>
        <v>0</v>
      </c>
      <c r="M18" s="60">
        <f>'Plan za unos u SAP'!I541+'Plan za unos u SAP'!I542</f>
        <v>100</v>
      </c>
      <c r="N18" s="60">
        <f>'Plan za unos u SAP'!I551+'Plan za unos u SAP'!I552</f>
        <v>0</v>
      </c>
      <c r="O18" s="60">
        <v>0</v>
      </c>
      <c r="P18" s="60">
        <v>0</v>
      </c>
      <c r="Q18" s="82">
        <f>'Plan za unos u SAP'!G50+'Plan za unos u SAP'!G51+'Plan za unos u SAP'!G52+'Plan za unos u SAP'!G53+'Plan za unos u SAP'!G121+'Plan za unos u SAP'!G122+'Plan za unos u SAP'!G123+'Plan za unos u SAP'!G124+'Plan za unos u SAP'!G189+'Plan za unos u SAP'!G190+'Plan za unos u SAP'!G191+'Plan za unos u SAP'!G192+'Plan za unos u SAP'!G257+'Plan za unos u SAP'!G258+'Plan za unos u SAP'!G259+'Plan za unos u SAP'!G260+'Plan za unos u SAP'!G337+'Plan za unos u SAP'!G338+'Plan za unos u SAP'!G339+'Plan za unos u SAP'!G340+'Plan za unos u SAP'!G407+'Plan za unos u SAP'!G408+'Plan za unos u SAP'!G409+'Plan za unos u SAP'!G410+'Plan za unos u SAP'!G477+'Plan za unos u SAP'!G478+'Plan za unos u SAP'!G479+'Plan za unos u SAP'!G480+'Plan za unos u SAP'!G541+'Plan za unos u SAP'!G542+'Plan za unos u SAP'!G551+'Plan za unos u SAP'!G552+'Plan za unos u SAP'!G595+'Plan za unos u SAP'!G596+'Plan za unos u SAP'!G597+'Plan za unos u SAP'!G598+'Plan za unos u SAP'!G664+'Plan za unos u SAP'!G665+'Plan za unos u SAP'!G666+'Plan za unos u SAP'!G667+'Plan za unos u SAP'!G740+'Plan za unos u SAP'!G741+'Plan za unos u SAP'!G742+'Plan za unos u SAP'!G743+'Plan za unos u SAP'!G815+'Plan za unos u SAP'!G816+'Plan za unos u SAP'!G817+'Plan za unos u SAP'!G818+'Plan za unos u SAP'!G884+'Plan za unos u SAP'!G885+'Plan za unos u SAP'!G886+'Plan za unos u SAP'!G887</f>
        <v>37594</v>
      </c>
      <c r="R18" s="82">
        <f>'Plan za unos u SAP'!H50+'Plan za unos u SAP'!H51+'Plan za unos u SAP'!H52+'Plan za unos u SAP'!H53+'Plan za unos u SAP'!H121+'Plan za unos u SAP'!H122+'Plan za unos u SAP'!H123+'Plan za unos u SAP'!H124+'Plan za unos u SAP'!H189+'Plan za unos u SAP'!H190+'Plan za unos u SAP'!H191+'Plan za unos u SAP'!H192+'Plan za unos u SAP'!H257+'Plan za unos u SAP'!H258+'Plan za unos u SAP'!H259+'Plan za unos u SAP'!H260+'Plan za unos u SAP'!H337+'Plan za unos u SAP'!H338+'Plan za unos u SAP'!H339+'Plan za unos u SAP'!H340+'Plan za unos u SAP'!H407+'Plan za unos u SAP'!H408+'Plan za unos u SAP'!H409+'Plan za unos u SAP'!H410+'Plan za unos u SAP'!H477+'Plan za unos u SAP'!H478+'Plan za unos u SAP'!H479+'Plan za unos u SAP'!H480+'Plan za unos u SAP'!H541+'Plan za unos u SAP'!H542+'Plan za unos u SAP'!H551+'Plan za unos u SAP'!H552+'Plan za unos u SAP'!H595+'Plan za unos u SAP'!H596+'Plan za unos u SAP'!H597+'Plan za unos u SAP'!H598+'Plan za unos u SAP'!H664+'Plan za unos u SAP'!H665+'Plan za unos u SAP'!H666+'Plan za unos u SAP'!H667+'Plan za unos u SAP'!H740+'Plan za unos u SAP'!H741+'Plan za unos u SAP'!H742+'Plan za unos u SAP'!H743+'Plan za unos u SAP'!H815+'Plan za unos u SAP'!H816+'Plan za unos u SAP'!H817+'Plan za unos u SAP'!H818+'Plan za unos u SAP'!H884+'Plan za unos u SAP'!H885+'Plan za unos u SAP'!H886+'Plan za unos u SAP'!H887</f>
        <v>36692.389999999992</v>
      </c>
      <c r="S18" s="86">
        <f t="shared" si="6"/>
        <v>108.10767675692929</v>
      </c>
      <c r="U18" s="81"/>
    </row>
    <row r="19" spans="1:21">
      <c r="A19" s="65">
        <v>35</v>
      </c>
      <c r="B19" s="66" t="s">
        <v>632</v>
      </c>
      <c r="C19" s="67">
        <f t="shared" si="2"/>
        <v>0</v>
      </c>
      <c r="D19" s="56">
        <f>SUM(D20:D22)</f>
        <v>0</v>
      </c>
      <c r="E19" s="56">
        <f t="shared" ref="E19:R19" si="15">SUM(E20:E22)</f>
        <v>0</v>
      </c>
      <c r="F19" s="56">
        <f t="shared" si="15"/>
        <v>0</v>
      </c>
      <c r="G19" s="56">
        <f t="shared" si="15"/>
        <v>0</v>
      </c>
      <c r="H19" s="56">
        <f t="shared" si="15"/>
        <v>0</v>
      </c>
      <c r="I19" s="56">
        <f t="shared" si="15"/>
        <v>0</v>
      </c>
      <c r="J19" s="56">
        <f t="shared" ref="J19" si="16">SUM(J20:J22)</f>
        <v>0</v>
      </c>
      <c r="K19" s="56">
        <f t="shared" si="15"/>
        <v>0</v>
      </c>
      <c r="L19" s="56">
        <f t="shared" si="15"/>
        <v>0</v>
      </c>
      <c r="M19" s="56">
        <f t="shared" si="15"/>
        <v>0</v>
      </c>
      <c r="N19" s="56">
        <f t="shared" si="15"/>
        <v>0</v>
      </c>
      <c r="O19" s="56">
        <f t="shared" si="15"/>
        <v>0</v>
      </c>
      <c r="P19" s="56">
        <f t="shared" si="15"/>
        <v>0</v>
      </c>
      <c r="Q19" s="56">
        <f t="shared" si="15"/>
        <v>0</v>
      </c>
      <c r="R19" s="56">
        <f t="shared" si="15"/>
        <v>0</v>
      </c>
      <c r="S19" s="85" t="e">
        <f t="shared" si="6"/>
        <v>#DIV/0!</v>
      </c>
      <c r="U19" s="81"/>
    </row>
    <row r="20" spans="1:21">
      <c r="A20" s="58">
        <v>351</v>
      </c>
      <c r="B20" s="58" t="s">
        <v>633</v>
      </c>
      <c r="C20" s="63">
        <f t="shared" si="2"/>
        <v>0</v>
      </c>
      <c r="D20" s="60">
        <v>0</v>
      </c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82">
        <v>0</v>
      </c>
      <c r="R20" s="82">
        <v>0</v>
      </c>
      <c r="S20" s="86" t="e">
        <f t="shared" si="6"/>
        <v>#DIV/0!</v>
      </c>
      <c r="U20" s="81"/>
    </row>
    <row r="21" spans="1:21">
      <c r="A21" s="61">
        <v>352</v>
      </c>
      <c r="B21" s="62" t="s">
        <v>634</v>
      </c>
      <c r="C21" s="63">
        <f t="shared" si="2"/>
        <v>0</v>
      </c>
      <c r="D21" s="60">
        <f>'Plan za unos u SAP'!I54</f>
        <v>0</v>
      </c>
      <c r="E21" s="60">
        <f>'Plan za unos u SAP'!I599+'Plan za unos u SAP'!I668</f>
        <v>0</v>
      </c>
      <c r="F21" s="60">
        <f>'Plan za unos u SAP'!I125</f>
        <v>0</v>
      </c>
      <c r="G21" s="60">
        <f>'Plan za unos u SAP'!I193+'Plan za unos u SAP'!I261</f>
        <v>0</v>
      </c>
      <c r="H21" s="60">
        <f>'Plan za unos u SAP'!I341</f>
        <v>0</v>
      </c>
      <c r="I21" s="60">
        <f>'Plan za unos u SAP'!I411+'Plan za unos u SAP'!I481</f>
        <v>0</v>
      </c>
      <c r="J21" s="60">
        <v>0</v>
      </c>
      <c r="K21" s="60">
        <f>'Plan za unos u SAP'!I744</f>
        <v>0</v>
      </c>
      <c r="L21" s="60">
        <f>'Plan za unos u SAP'!I819+'Plan za unos u SAP'!I888</f>
        <v>0</v>
      </c>
      <c r="M21" s="60">
        <v>0</v>
      </c>
      <c r="N21" s="60">
        <v>0</v>
      </c>
      <c r="O21" s="60">
        <v>0</v>
      </c>
      <c r="P21" s="60">
        <v>0</v>
      </c>
      <c r="Q21" s="82">
        <f>'Plan za unos u SAP'!G54+'Plan za unos u SAP'!G125+'Plan za unos u SAP'!G193+'Plan za unos u SAP'!G261+'Plan za unos u SAP'!G341+'Plan za unos u SAP'!G411+'Plan za unos u SAP'!G481+'Plan za unos u SAP'!G599+'Plan za unos u SAP'!G668+'Plan za unos u SAP'!G744+'Plan za unos u SAP'!G819+'Plan za unos u SAP'!G888</f>
        <v>0</v>
      </c>
      <c r="R21" s="82">
        <f>'Plan za unos u SAP'!H54+'Plan za unos u SAP'!H125+'Plan za unos u SAP'!H193+'Plan za unos u SAP'!H261+'Plan za unos u SAP'!H341+'Plan za unos u SAP'!H411+'Plan za unos u SAP'!H481+'Plan za unos u SAP'!H599+'Plan za unos u SAP'!H668+'Plan za unos u SAP'!H744+'Plan za unos u SAP'!H819+'Plan za unos u SAP'!H888</f>
        <v>0</v>
      </c>
      <c r="S21" s="86" t="e">
        <f t="shared" si="6"/>
        <v>#DIV/0!</v>
      </c>
      <c r="U21" s="81"/>
    </row>
    <row r="22" spans="1:21">
      <c r="A22" s="64">
        <v>353</v>
      </c>
      <c r="B22" s="62" t="s">
        <v>635</v>
      </c>
      <c r="C22" s="63">
        <f t="shared" si="2"/>
        <v>0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60">
        <v>0</v>
      </c>
      <c r="O22" s="60">
        <v>0</v>
      </c>
      <c r="P22" s="60">
        <v>0</v>
      </c>
      <c r="Q22" s="82">
        <v>0</v>
      </c>
      <c r="R22" s="82">
        <v>0</v>
      </c>
      <c r="S22" s="86" t="e">
        <f t="shared" si="6"/>
        <v>#DIV/0!</v>
      </c>
      <c r="U22" s="81"/>
    </row>
    <row r="23" spans="1:21">
      <c r="A23" s="65">
        <v>36</v>
      </c>
      <c r="B23" s="70" t="s">
        <v>636</v>
      </c>
      <c r="C23" s="67">
        <f t="shared" si="2"/>
        <v>33000</v>
      </c>
      <c r="D23" s="56">
        <f t="shared" ref="D23:R23" si="17">SUM(D24:D29)</f>
        <v>0</v>
      </c>
      <c r="E23" s="56">
        <f t="shared" si="17"/>
        <v>0</v>
      </c>
      <c r="F23" s="56">
        <f t="shared" si="17"/>
        <v>33000</v>
      </c>
      <c r="G23" s="56">
        <f t="shared" si="17"/>
        <v>0</v>
      </c>
      <c r="H23" s="56">
        <f t="shared" si="17"/>
        <v>0</v>
      </c>
      <c r="I23" s="56">
        <f t="shared" si="17"/>
        <v>0</v>
      </c>
      <c r="J23" s="56">
        <f t="shared" ref="J23" si="18">SUM(J24:J29)</f>
        <v>0</v>
      </c>
      <c r="K23" s="56">
        <f t="shared" si="17"/>
        <v>0</v>
      </c>
      <c r="L23" s="56">
        <f t="shared" si="17"/>
        <v>0</v>
      </c>
      <c r="M23" s="56">
        <f t="shared" si="17"/>
        <v>0</v>
      </c>
      <c r="N23" s="56">
        <f t="shared" si="17"/>
        <v>0</v>
      </c>
      <c r="O23" s="56">
        <f t="shared" si="17"/>
        <v>0</v>
      </c>
      <c r="P23" s="56">
        <f t="shared" si="17"/>
        <v>0</v>
      </c>
      <c r="Q23" s="56">
        <f t="shared" si="17"/>
        <v>23345</v>
      </c>
      <c r="R23" s="56">
        <f t="shared" si="17"/>
        <v>33000</v>
      </c>
      <c r="S23" s="85">
        <f t="shared" si="6"/>
        <v>141.35789248233027</v>
      </c>
      <c r="U23" s="81"/>
    </row>
    <row r="24" spans="1:21">
      <c r="A24" s="64">
        <v>361</v>
      </c>
      <c r="B24" s="71" t="s">
        <v>637</v>
      </c>
      <c r="C24" s="63">
        <f t="shared" si="2"/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  <c r="I24" s="60">
        <v>0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0">
        <v>0</v>
      </c>
      <c r="Q24" s="82">
        <v>0</v>
      </c>
      <c r="R24" s="82">
        <v>0</v>
      </c>
      <c r="S24" s="86" t="e">
        <f t="shared" si="6"/>
        <v>#DIV/0!</v>
      </c>
      <c r="U24" s="81"/>
    </row>
    <row r="25" spans="1:21">
      <c r="A25" s="61">
        <v>362</v>
      </c>
      <c r="B25" s="62" t="s">
        <v>638</v>
      </c>
      <c r="C25" s="63">
        <f t="shared" si="2"/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  <c r="I25" s="60">
        <v>0</v>
      </c>
      <c r="J25" s="60">
        <v>0</v>
      </c>
      <c r="K25" s="60">
        <v>0</v>
      </c>
      <c r="L25" s="60">
        <v>0</v>
      </c>
      <c r="M25" s="60">
        <v>0</v>
      </c>
      <c r="N25" s="60">
        <v>0</v>
      </c>
      <c r="O25" s="60">
        <v>0</v>
      </c>
      <c r="P25" s="60">
        <v>0</v>
      </c>
      <c r="Q25" s="82">
        <v>0</v>
      </c>
      <c r="R25" s="82">
        <v>0</v>
      </c>
      <c r="S25" s="86" t="e">
        <f t="shared" si="6"/>
        <v>#DIV/0!</v>
      </c>
      <c r="U25" s="81"/>
    </row>
    <row r="26" spans="1:21">
      <c r="A26" s="61">
        <v>363</v>
      </c>
      <c r="B26" s="62" t="s">
        <v>639</v>
      </c>
      <c r="C26" s="63">
        <f t="shared" si="2"/>
        <v>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60">
        <v>0</v>
      </c>
      <c r="P26" s="60">
        <v>0</v>
      </c>
      <c r="Q26" s="82">
        <v>0</v>
      </c>
      <c r="R26" s="82">
        <v>0</v>
      </c>
      <c r="S26" s="86" t="e">
        <f t="shared" si="6"/>
        <v>#DIV/0!</v>
      </c>
      <c r="U26" s="81"/>
    </row>
    <row r="27" spans="1:21">
      <c r="A27" s="61">
        <v>366</v>
      </c>
      <c r="B27" s="62" t="s">
        <v>640</v>
      </c>
      <c r="C27" s="63">
        <f t="shared" si="2"/>
        <v>0</v>
      </c>
      <c r="D27" s="60">
        <v>0</v>
      </c>
      <c r="E27" s="60">
        <v>0</v>
      </c>
      <c r="F27" s="60">
        <v>0</v>
      </c>
      <c r="G27" s="60">
        <v>0</v>
      </c>
      <c r="H27" s="60">
        <v>0</v>
      </c>
      <c r="I27" s="60">
        <v>0</v>
      </c>
      <c r="J27" s="60">
        <v>0</v>
      </c>
      <c r="K27" s="60">
        <v>0</v>
      </c>
      <c r="L27" s="60">
        <v>0</v>
      </c>
      <c r="M27" s="60">
        <v>0</v>
      </c>
      <c r="N27" s="60">
        <v>0</v>
      </c>
      <c r="O27" s="60">
        <v>0</v>
      </c>
      <c r="P27" s="60">
        <v>0</v>
      </c>
      <c r="Q27" s="82">
        <v>0</v>
      </c>
      <c r="R27" s="82">
        <v>0</v>
      </c>
      <c r="S27" s="86" t="e">
        <f t="shared" si="6"/>
        <v>#DIV/0!</v>
      </c>
      <c r="U27" s="81"/>
    </row>
    <row r="28" spans="1:21">
      <c r="A28" s="61">
        <v>368</v>
      </c>
      <c r="B28" s="62" t="s">
        <v>125</v>
      </c>
      <c r="C28" s="63">
        <f t="shared" si="2"/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60">
        <v>0</v>
      </c>
      <c r="P28" s="60">
        <v>0</v>
      </c>
      <c r="Q28" s="82">
        <v>0</v>
      </c>
      <c r="R28" s="82">
        <v>0</v>
      </c>
      <c r="S28" s="86" t="e">
        <f t="shared" si="6"/>
        <v>#DIV/0!</v>
      </c>
      <c r="U28" s="81"/>
    </row>
    <row r="29" spans="1:21">
      <c r="A29" s="64">
        <v>369</v>
      </c>
      <c r="B29" s="62" t="s">
        <v>127</v>
      </c>
      <c r="C29" s="63">
        <f t="shared" si="2"/>
        <v>33000</v>
      </c>
      <c r="D29" s="60">
        <f>'Plan za unos u SAP'!I55+'Plan za unos u SAP'!I56</f>
        <v>0</v>
      </c>
      <c r="E29" s="60">
        <f>'Plan za unos u SAP'!I600+'Plan za unos u SAP'!I601+'Plan za unos u SAP'!I602+'Plan za unos u SAP'!I669+'Plan za unos u SAP'!I670+'Plan za unos u SAP'!I671</f>
        <v>0</v>
      </c>
      <c r="F29" s="60">
        <f>'Plan za unos u SAP'!I126+'Plan za unos u SAP'!I127</f>
        <v>33000</v>
      </c>
      <c r="G29" s="60">
        <f>'Plan za unos u SAP'!I194+'Plan za unos u SAP'!I195+'Plan za unos u SAP'!I262+'Plan za unos u SAP'!I263</f>
        <v>0</v>
      </c>
      <c r="H29" s="60">
        <f>'Plan za unos u SAP'!I342+'Plan za unos u SAP'!I343+'Plan za unos u SAP'!I344</f>
        <v>0</v>
      </c>
      <c r="I29" s="60">
        <f>'Plan za unos u SAP'!I412+'Plan za unos u SAP'!I413+'Plan za unos u SAP'!I414+'Plan za unos u SAP'!I482+'Plan za unos u SAP'!I483+'Plan za unos u SAP'!I484</f>
        <v>0</v>
      </c>
      <c r="J29" s="60">
        <v>0</v>
      </c>
      <c r="K29" s="60">
        <f>'Plan za unos u SAP'!I745+'Plan za unos u SAP'!I746+'Plan za unos u SAP'!I747</f>
        <v>0</v>
      </c>
      <c r="L29" s="60">
        <f>'Plan za unos u SAP'!I820+'Plan za unos u SAP'!I821+'Plan za unos u SAP'!I822+'Plan za unos u SAP'!I889+'Plan za unos u SAP'!I890+'Plan za unos u SAP'!I891</f>
        <v>0</v>
      </c>
      <c r="M29" s="60">
        <v>0</v>
      </c>
      <c r="N29" s="60">
        <f>'Plan za unos u SAP'!I553</f>
        <v>0</v>
      </c>
      <c r="O29" s="60">
        <v>0</v>
      </c>
      <c r="P29" s="60">
        <v>0</v>
      </c>
      <c r="Q29" s="82">
        <f>'Plan za unos u SAP'!G55+'Plan za unos u SAP'!G56+'Plan za unos u SAP'!G126+'Plan za unos u SAP'!G127+'Plan za unos u SAP'!G194+'Plan za unos u SAP'!G195+'Plan za unos u SAP'!G262+'Plan za unos u SAP'!G263+'Plan za unos u SAP'!G342+'Plan za unos u SAP'!G343+'Plan za unos u SAP'!G344+'Plan za unos u SAP'!G412+'Plan za unos u SAP'!G413+'Plan za unos u SAP'!G414+'Plan za unos u SAP'!G482+'Plan za unos u SAP'!G483+'Plan za unos u SAP'!G484+'Plan za unos u SAP'!G553+'Plan za unos u SAP'!G600+'Plan za unos u SAP'!G601+'Plan za unos u SAP'!G602+'Plan za unos u SAP'!G669+'Plan za unos u SAP'!G670+'Plan za unos u SAP'!G671+'Plan za unos u SAP'!G745+'Plan za unos u SAP'!G746+'Plan za unos u SAP'!G747+'Plan za unos u SAP'!G820+'Plan za unos u SAP'!G821+'Plan za unos u SAP'!G822+'Plan za unos u SAP'!G889+'Plan za unos u SAP'!G890+'Plan za unos u SAP'!G891</f>
        <v>23345</v>
      </c>
      <c r="R29" s="82">
        <f>'Plan za unos u SAP'!H55+'Plan za unos u SAP'!H56+'Plan za unos u SAP'!H126+'Plan za unos u SAP'!H127+'Plan za unos u SAP'!H194+'Plan za unos u SAP'!H195+'Plan za unos u SAP'!H262+'Plan za unos u SAP'!H263+'Plan za unos u SAP'!H342+'Plan za unos u SAP'!H343+'Plan za unos u SAP'!H344+'Plan za unos u SAP'!H412+'Plan za unos u SAP'!H413+'Plan za unos u SAP'!H414+'Plan za unos u SAP'!H482+'Plan za unos u SAP'!H483+'Plan za unos u SAP'!H484+'Plan za unos u SAP'!H553+'Plan za unos u SAP'!H600+'Plan za unos u SAP'!H601+'Plan za unos u SAP'!H602+'Plan za unos u SAP'!H669+'Plan za unos u SAP'!H670+'Plan za unos u SAP'!H671+'Plan za unos u SAP'!H745+'Plan za unos u SAP'!H746+'Plan za unos u SAP'!H747+'Plan za unos u SAP'!H820+'Plan za unos u SAP'!H821+'Plan za unos u SAP'!H822+'Plan za unos u SAP'!H889+'Plan za unos u SAP'!H890+'Plan za unos u SAP'!H891</f>
        <v>33000</v>
      </c>
      <c r="S29" s="86">
        <f t="shared" si="6"/>
        <v>141.35789248233027</v>
      </c>
      <c r="U29" s="81"/>
    </row>
    <row r="30" spans="1:21">
      <c r="A30" s="65">
        <v>37</v>
      </c>
      <c r="B30" s="66" t="s">
        <v>641</v>
      </c>
      <c r="C30" s="67">
        <f t="shared" si="2"/>
        <v>145981</v>
      </c>
      <c r="D30" s="67">
        <f t="shared" ref="D30:R30" si="19">SUM(D31:D32)</f>
        <v>25981</v>
      </c>
      <c r="E30" s="67">
        <f t="shared" si="19"/>
        <v>0</v>
      </c>
      <c r="F30" s="67">
        <f t="shared" si="19"/>
        <v>0</v>
      </c>
      <c r="G30" s="67">
        <f t="shared" si="19"/>
        <v>120000</v>
      </c>
      <c r="H30" s="67">
        <f t="shared" si="19"/>
        <v>0</v>
      </c>
      <c r="I30" s="67">
        <f t="shared" si="19"/>
        <v>0</v>
      </c>
      <c r="J30" s="67">
        <f t="shared" ref="J30" si="20">SUM(J31:J32)</f>
        <v>0</v>
      </c>
      <c r="K30" s="67">
        <f t="shared" si="19"/>
        <v>0</v>
      </c>
      <c r="L30" s="67">
        <f t="shared" si="19"/>
        <v>0</v>
      </c>
      <c r="M30" s="67">
        <f t="shared" si="19"/>
        <v>0</v>
      </c>
      <c r="N30" s="67">
        <f t="shared" si="19"/>
        <v>0</v>
      </c>
      <c r="O30" s="67">
        <f t="shared" si="19"/>
        <v>0</v>
      </c>
      <c r="P30" s="67">
        <f t="shared" si="19"/>
        <v>0</v>
      </c>
      <c r="Q30" s="67">
        <f t="shared" si="19"/>
        <v>0</v>
      </c>
      <c r="R30" s="67">
        <f t="shared" si="19"/>
        <v>101706</v>
      </c>
      <c r="S30" s="85" t="e">
        <f t="shared" si="6"/>
        <v>#DIV/0!</v>
      </c>
      <c r="U30" s="81"/>
    </row>
    <row r="31" spans="1:21">
      <c r="A31" s="64">
        <v>371</v>
      </c>
      <c r="B31" s="62" t="s">
        <v>642</v>
      </c>
      <c r="C31" s="63">
        <f t="shared" si="2"/>
        <v>0</v>
      </c>
      <c r="D31" s="60">
        <v>0</v>
      </c>
      <c r="E31" s="60">
        <v>0</v>
      </c>
      <c r="F31" s="60">
        <v>0</v>
      </c>
      <c r="G31" s="60">
        <v>0</v>
      </c>
      <c r="H31" s="60">
        <v>0</v>
      </c>
      <c r="I31" s="60">
        <v>0</v>
      </c>
      <c r="J31" s="60">
        <v>0</v>
      </c>
      <c r="K31" s="60">
        <v>0</v>
      </c>
      <c r="L31" s="60">
        <v>0</v>
      </c>
      <c r="M31" s="60">
        <v>0</v>
      </c>
      <c r="N31" s="60">
        <v>0</v>
      </c>
      <c r="O31" s="60">
        <v>0</v>
      </c>
      <c r="P31" s="60">
        <v>0</v>
      </c>
      <c r="Q31" s="82">
        <v>0</v>
      </c>
      <c r="R31" s="82">
        <v>0</v>
      </c>
      <c r="S31" s="86" t="e">
        <f t="shared" si="6"/>
        <v>#DIV/0!</v>
      </c>
      <c r="U31" s="81"/>
    </row>
    <row r="32" spans="1:21">
      <c r="A32" s="64">
        <v>372</v>
      </c>
      <c r="B32" s="68" t="s">
        <v>643</v>
      </c>
      <c r="C32" s="63">
        <f t="shared" si="2"/>
        <v>145981</v>
      </c>
      <c r="D32" s="60">
        <f>'Plan za unos u SAP'!I57+'Plan za unos u SAP'!I84</f>
        <v>25981</v>
      </c>
      <c r="E32" s="60">
        <f>'Plan za unos u SAP'!I603+'Plan za unos u SAP'!I672</f>
        <v>0</v>
      </c>
      <c r="F32" s="60">
        <f>'Plan za unos u SAP'!I128</f>
        <v>0</v>
      </c>
      <c r="G32" s="60">
        <f>'Plan za unos u SAP'!I196+'Plan za unos u SAP'!I264</f>
        <v>120000</v>
      </c>
      <c r="H32" s="60">
        <f>'Plan za unos u SAP'!I298+'Plan za unos u SAP'!I345</f>
        <v>0</v>
      </c>
      <c r="I32" s="60">
        <f>'Plan za unos u SAP'!I415+'Plan za unos u SAP'!I416+'Plan za unos u SAP'!I485</f>
        <v>0</v>
      </c>
      <c r="J32" s="60">
        <v>0</v>
      </c>
      <c r="K32" s="60">
        <f>'Plan za unos u SAP'!I748</f>
        <v>0</v>
      </c>
      <c r="L32" s="60">
        <f>'Plan za unos u SAP'!I823+'Plan za unos u SAP'!I892</f>
        <v>0</v>
      </c>
      <c r="M32" s="60">
        <f>'Plan za unos u SAP'!I543</f>
        <v>0</v>
      </c>
      <c r="N32" s="60">
        <v>0</v>
      </c>
      <c r="O32" s="60">
        <v>0</v>
      </c>
      <c r="P32" s="60">
        <v>0</v>
      </c>
      <c r="Q32" s="82">
        <f>'Plan za unos u SAP'!G57+'Plan za unos u SAP'!G84+'Plan za unos u SAP'!G128+'Plan za unos u SAP'!G196+'Plan za unos u SAP'!G264+'Plan za unos u SAP'!G298+'Plan za unos u SAP'!G345+'Plan za unos u SAP'!G415+'Plan za unos u SAP'!G416+'Plan za unos u SAP'!G485+'Plan za unos u SAP'!G543+'Plan za unos u SAP'!G603+'Plan za unos u SAP'!G672+'Plan za unos u SAP'!G748+'Plan za unos u SAP'!G823+'Plan za unos u SAP'!G892</f>
        <v>0</v>
      </c>
      <c r="R32" s="82">
        <f>'Plan za unos u SAP'!H57+'Plan za unos u SAP'!H84+'Plan za unos u SAP'!H128+'Plan za unos u SAP'!H196+'Plan za unos u SAP'!H264+'Plan za unos u SAP'!H298+'Plan za unos u SAP'!H345+'Plan za unos u SAP'!H415+'Plan za unos u SAP'!H416+'Plan za unos u SAP'!H485+'Plan za unos u SAP'!H543+'Plan za unos u SAP'!H603+'Plan za unos u SAP'!H672+'Plan za unos u SAP'!H748+'Plan za unos u SAP'!H823+'Plan za unos u SAP'!H892</f>
        <v>101706</v>
      </c>
      <c r="S32" s="86" t="e">
        <f t="shared" si="6"/>
        <v>#DIV/0!</v>
      </c>
      <c r="U32" s="81"/>
    </row>
    <row r="33" spans="1:21">
      <c r="A33" s="65">
        <v>38</v>
      </c>
      <c r="B33" s="66" t="s">
        <v>644</v>
      </c>
      <c r="C33" s="67">
        <f t="shared" si="2"/>
        <v>594261</v>
      </c>
      <c r="D33" s="67">
        <f t="shared" ref="D33:R33" si="21">SUM(D34:D37)</f>
        <v>0</v>
      </c>
      <c r="E33" s="67">
        <f t="shared" si="21"/>
        <v>0</v>
      </c>
      <c r="F33" s="67">
        <f t="shared" si="21"/>
        <v>26129</v>
      </c>
      <c r="G33" s="67">
        <f t="shared" si="21"/>
        <v>10000</v>
      </c>
      <c r="H33" s="67">
        <f t="shared" si="21"/>
        <v>0</v>
      </c>
      <c r="I33" s="67">
        <f t="shared" si="21"/>
        <v>558132</v>
      </c>
      <c r="J33" s="67">
        <f t="shared" ref="J33" si="22">SUM(J34:J37)</f>
        <v>0</v>
      </c>
      <c r="K33" s="67">
        <f t="shared" si="21"/>
        <v>0</v>
      </c>
      <c r="L33" s="67">
        <f t="shared" si="21"/>
        <v>0</v>
      </c>
      <c r="M33" s="67">
        <f t="shared" si="21"/>
        <v>0</v>
      </c>
      <c r="N33" s="67">
        <f t="shared" si="21"/>
        <v>0</v>
      </c>
      <c r="O33" s="67">
        <f t="shared" si="21"/>
        <v>0</v>
      </c>
      <c r="P33" s="67">
        <f t="shared" si="21"/>
        <v>0</v>
      </c>
      <c r="Q33" s="67">
        <f t="shared" si="21"/>
        <v>115462</v>
      </c>
      <c r="R33" s="67">
        <f t="shared" si="21"/>
        <v>589012.67999999993</v>
      </c>
      <c r="S33" s="85">
        <f t="shared" si="6"/>
        <v>514.68102059552064</v>
      </c>
      <c r="U33" s="81"/>
    </row>
    <row r="34" spans="1:21">
      <c r="A34" s="61">
        <v>381</v>
      </c>
      <c r="B34" s="62" t="s">
        <v>645</v>
      </c>
      <c r="C34" s="63">
        <f t="shared" si="2"/>
        <v>594261</v>
      </c>
      <c r="D34" s="60">
        <f>'Plan za unos u SAP'!I58</f>
        <v>0</v>
      </c>
      <c r="E34" s="60">
        <f>'Plan za unos u SAP'!I604+'Plan za unos u SAP'!I673</f>
        <v>0</v>
      </c>
      <c r="F34" s="60">
        <f>'Plan za unos u SAP'!I129</f>
        <v>26129</v>
      </c>
      <c r="G34" s="60">
        <f>'Plan za unos u SAP'!I197+'Plan za unos u SAP'!I265+'Plan za unos u SAP'!I266</f>
        <v>10000</v>
      </c>
      <c r="H34" s="60">
        <f>'Plan za unos u SAP'!I299+'Plan za unos u SAP'!I346</f>
        <v>0</v>
      </c>
      <c r="I34" s="60">
        <f>'Plan za unos u SAP'!I417+'Plan za unos u SAP'!I486</f>
        <v>558132</v>
      </c>
      <c r="J34" s="60">
        <v>0</v>
      </c>
      <c r="K34" s="60">
        <f>'Plan za unos u SAP'!I749</f>
        <v>0</v>
      </c>
      <c r="L34" s="60">
        <f>'Plan za unos u SAP'!I824+'Plan za unos u SAP'!I893</f>
        <v>0</v>
      </c>
      <c r="M34" s="60">
        <v>0</v>
      </c>
      <c r="N34" s="60">
        <v>0</v>
      </c>
      <c r="O34" s="60">
        <v>0</v>
      </c>
      <c r="P34" s="60">
        <v>0</v>
      </c>
      <c r="Q34" s="82">
        <f>'Plan za unos u SAP'!G58+'Plan za unos u SAP'!G129+'Plan za unos u SAP'!G197+'Plan za unos u SAP'!G265+'Plan za unos u SAP'!G266+'Plan za unos u SAP'!G299+'Plan za unos u SAP'!G346+'Plan za unos u SAP'!G417+'Plan za unos u SAP'!G486+'Plan za unos u SAP'!G604+'Plan za unos u SAP'!G673+'Plan za unos u SAP'!G749+'Plan za unos u SAP'!G824+'Plan za unos u SAP'!G893</f>
        <v>115462</v>
      </c>
      <c r="R34" s="82">
        <f>'Plan za unos u SAP'!H58+'Plan za unos u SAP'!H129+'Plan za unos u SAP'!H197+'Plan za unos u SAP'!H265+'Plan za unos u SAP'!H266+'Plan za unos u SAP'!H299+'Plan za unos u SAP'!H346+'Plan za unos u SAP'!H417+'Plan za unos u SAP'!H486+'Plan za unos u SAP'!H604+'Plan za unos u SAP'!H673+'Plan za unos u SAP'!H749+'Plan za unos u SAP'!H824+'Plan za unos u SAP'!H893</f>
        <v>589012.67999999993</v>
      </c>
      <c r="S34" s="86">
        <f t="shared" si="6"/>
        <v>514.68102059552064</v>
      </c>
      <c r="U34" s="81"/>
    </row>
    <row r="35" spans="1:21">
      <c r="A35" s="61">
        <v>382</v>
      </c>
      <c r="B35" s="62" t="s">
        <v>646</v>
      </c>
      <c r="C35" s="63">
        <f t="shared" si="2"/>
        <v>0</v>
      </c>
      <c r="D35" s="60">
        <v>0</v>
      </c>
      <c r="E35" s="60">
        <v>0</v>
      </c>
      <c r="F35" s="60">
        <v>0</v>
      </c>
      <c r="G35" s="60">
        <v>0</v>
      </c>
      <c r="H35" s="60">
        <v>0</v>
      </c>
      <c r="I35" s="60">
        <v>0</v>
      </c>
      <c r="J35" s="60">
        <v>0</v>
      </c>
      <c r="K35" s="60">
        <v>0</v>
      </c>
      <c r="L35" s="60">
        <v>0</v>
      </c>
      <c r="M35" s="60">
        <v>0</v>
      </c>
      <c r="N35" s="60">
        <v>0</v>
      </c>
      <c r="O35" s="60">
        <v>0</v>
      </c>
      <c r="P35" s="60">
        <v>0</v>
      </c>
      <c r="Q35" s="82">
        <v>0</v>
      </c>
      <c r="R35" s="82">
        <v>0</v>
      </c>
      <c r="S35" s="86" t="e">
        <f t="shared" si="6"/>
        <v>#DIV/0!</v>
      </c>
      <c r="U35" s="81"/>
    </row>
    <row r="36" spans="1:21">
      <c r="A36" s="64">
        <v>383</v>
      </c>
      <c r="B36" s="62" t="s">
        <v>647</v>
      </c>
      <c r="C36" s="63">
        <f t="shared" ref="C36:C67" si="23">ROUND(SUM(D36:P36),0)</f>
        <v>0</v>
      </c>
      <c r="D36" s="60">
        <f>'Plan za unos u SAP'!I59</f>
        <v>0</v>
      </c>
      <c r="E36" s="60">
        <f>'Plan za unos u SAP'!I605+'Plan za unos u SAP'!I674</f>
        <v>0</v>
      </c>
      <c r="F36" s="60">
        <f>'Plan za unos u SAP'!I130</f>
        <v>0</v>
      </c>
      <c r="G36" s="60">
        <f>'Plan za unos u SAP'!I198+'Plan za unos u SAP'!I267</f>
        <v>0</v>
      </c>
      <c r="H36" s="60">
        <f>'Plan za unos u SAP'!I347</f>
        <v>0</v>
      </c>
      <c r="I36" s="60">
        <f>'Plan za unos u SAP'!I418+'Plan za unos u SAP'!I487</f>
        <v>0</v>
      </c>
      <c r="J36" s="60">
        <v>0</v>
      </c>
      <c r="K36" s="60">
        <f>'Plan za unos u SAP'!I750</f>
        <v>0</v>
      </c>
      <c r="L36" s="60">
        <f>'Plan za unos u SAP'!I825+'Plan za unos u SAP'!I894</f>
        <v>0</v>
      </c>
      <c r="M36" s="60">
        <v>0</v>
      </c>
      <c r="N36" s="60">
        <v>0</v>
      </c>
      <c r="O36" s="60">
        <v>0</v>
      </c>
      <c r="P36" s="60">
        <v>0</v>
      </c>
      <c r="Q36" s="82">
        <f>'Plan za unos u SAP'!G59+'Plan za unos u SAP'!G130+'Plan za unos u SAP'!G198+'Plan za unos u SAP'!G267+'Plan za unos u SAP'!G347+'Plan za unos u SAP'!G418+'Plan za unos u SAP'!G487+'Plan za unos u SAP'!G605+'Plan za unos u SAP'!G674+'Plan za unos u SAP'!G750+'Plan za unos u SAP'!G825+'Plan za unos u SAP'!G894</f>
        <v>0</v>
      </c>
      <c r="R36" s="82">
        <f>'Plan za unos u SAP'!H59+'Plan za unos u SAP'!H130+'Plan za unos u SAP'!H198+'Plan za unos u SAP'!H267+'Plan za unos u SAP'!H347+'Plan za unos u SAP'!H418+'Plan za unos u SAP'!H487+'Plan za unos u SAP'!H605+'Plan za unos u SAP'!H674+'Plan za unos u SAP'!H750+'Plan za unos u SAP'!H825+'Plan za unos u SAP'!H894</f>
        <v>0</v>
      </c>
      <c r="S36" s="86" t="e">
        <f t="shared" si="6"/>
        <v>#DIV/0!</v>
      </c>
      <c r="U36" s="81"/>
    </row>
    <row r="37" spans="1:21">
      <c r="A37" s="64">
        <v>386</v>
      </c>
      <c r="B37" s="68" t="s">
        <v>648</v>
      </c>
      <c r="C37" s="63">
        <f t="shared" si="23"/>
        <v>0</v>
      </c>
      <c r="D37" s="60">
        <v>0</v>
      </c>
      <c r="E37" s="60">
        <v>0</v>
      </c>
      <c r="F37" s="60">
        <v>0</v>
      </c>
      <c r="G37" s="60">
        <v>0</v>
      </c>
      <c r="H37" s="60">
        <v>0</v>
      </c>
      <c r="I37" s="60">
        <v>0</v>
      </c>
      <c r="J37" s="60">
        <v>0</v>
      </c>
      <c r="K37" s="60">
        <v>0</v>
      </c>
      <c r="L37" s="60">
        <v>0</v>
      </c>
      <c r="M37" s="60">
        <v>0</v>
      </c>
      <c r="N37" s="60">
        <v>0</v>
      </c>
      <c r="O37" s="60">
        <v>0</v>
      </c>
      <c r="P37" s="60">
        <v>0</v>
      </c>
      <c r="Q37" s="82">
        <v>0</v>
      </c>
      <c r="R37" s="82">
        <v>0</v>
      </c>
      <c r="S37" s="86" t="e">
        <f t="shared" si="6"/>
        <v>#DIV/0!</v>
      </c>
      <c r="U37" s="81"/>
    </row>
    <row r="38" spans="1:21">
      <c r="A38" s="72">
        <v>4</v>
      </c>
      <c r="B38" s="73" t="s">
        <v>649</v>
      </c>
      <c r="C38" s="74">
        <f t="shared" si="23"/>
        <v>720038</v>
      </c>
      <c r="D38" s="74">
        <f t="shared" ref="D38:R38" si="24">D42+D49+D51+D53+D39</f>
        <v>94562</v>
      </c>
      <c r="E38" s="74">
        <f t="shared" si="24"/>
        <v>0</v>
      </c>
      <c r="F38" s="74">
        <f t="shared" si="24"/>
        <v>102625</v>
      </c>
      <c r="G38" s="74">
        <f t="shared" si="24"/>
        <v>336000</v>
      </c>
      <c r="H38" s="74">
        <f t="shared" si="24"/>
        <v>0</v>
      </c>
      <c r="I38" s="74">
        <f t="shared" si="24"/>
        <v>72427</v>
      </c>
      <c r="J38" s="74">
        <f t="shared" ref="J38" si="25">J42+J49+J51+J53+J39</f>
        <v>0</v>
      </c>
      <c r="K38" s="74">
        <f t="shared" si="24"/>
        <v>0</v>
      </c>
      <c r="L38" s="74">
        <f t="shared" si="24"/>
        <v>0</v>
      </c>
      <c r="M38" s="74">
        <f t="shared" si="24"/>
        <v>0</v>
      </c>
      <c r="N38" s="74">
        <f t="shared" si="24"/>
        <v>0</v>
      </c>
      <c r="O38" s="74">
        <f t="shared" si="24"/>
        <v>114424</v>
      </c>
      <c r="P38" s="74">
        <f t="shared" si="24"/>
        <v>0</v>
      </c>
      <c r="Q38" s="74">
        <f t="shared" si="24"/>
        <v>620000</v>
      </c>
      <c r="R38" s="74">
        <f t="shared" si="24"/>
        <v>653209.82000000007</v>
      </c>
      <c r="S38" s="84">
        <f t="shared" si="6"/>
        <v>116.13516129032257</v>
      </c>
      <c r="U38" s="81"/>
    </row>
    <row r="39" spans="1:21">
      <c r="A39" s="54">
        <v>41</v>
      </c>
      <c r="B39" s="55" t="s">
        <v>650</v>
      </c>
      <c r="C39" s="67">
        <f t="shared" si="23"/>
        <v>0</v>
      </c>
      <c r="D39" s="57">
        <f t="shared" ref="D39:O39" si="26">SUM(D40:D41)</f>
        <v>0</v>
      </c>
      <c r="E39" s="57">
        <f t="shared" si="26"/>
        <v>0</v>
      </c>
      <c r="F39" s="57">
        <f t="shared" si="26"/>
        <v>0</v>
      </c>
      <c r="G39" s="57">
        <f t="shared" si="26"/>
        <v>0</v>
      </c>
      <c r="H39" s="57">
        <f t="shared" si="26"/>
        <v>0</v>
      </c>
      <c r="I39" s="57">
        <f t="shared" si="26"/>
        <v>0</v>
      </c>
      <c r="J39" s="57">
        <f t="shared" ref="J39" si="27">SUM(J40:J41)</f>
        <v>0</v>
      </c>
      <c r="K39" s="57">
        <f t="shared" si="26"/>
        <v>0</v>
      </c>
      <c r="L39" s="57">
        <f t="shared" si="26"/>
        <v>0</v>
      </c>
      <c r="M39" s="57">
        <f t="shared" si="26"/>
        <v>0</v>
      </c>
      <c r="N39" s="57">
        <f t="shared" si="26"/>
        <v>0</v>
      </c>
      <c r="O39" s="57">
        <f t="shared" si="26"/>
        <v>0</v>
      </c>
      <c r="P39" s="57">
        <f>SUM(P40:P41)</f>
        <v>0</v>
      </c>
      <c r="Q39" s="57">
        <f t="shared" ref="Q39:R39" si="28">SUM(Q40:Q41)</f>
        <v>0</v>
      </c>
      <c r="R39" s="57">
        <f t="shared" si="28"/>
        <v>0</v>
      </c>
      <c r="S39" s="85" t="e">
        <f t="shared" si="6"/>
        <v>#DIV/0!</v>
      </c>
      <c r="U39" s="81"/>
    </row>
    <row r="40" spans="1:21">
      <c r="A40" s="58">
        <v>411</v>
      </c>
      <c r="B40" s="58" t="s">
        <v>651</v>
      </c>
      <c r="C40" s="63">
        <f t="shared" si="23"/>
        <v>0</v>
      </c>
      <c r="D40" s="60">
        <v>0</v>
      </c>
      <c r="E40" s="60">
        <v>0</v>
      </c>
      <c r="F40" s="60">
        <v>0</v>
      </c>
      <c r="G40" s="60">
        <v>0</v>
      </c>
      <c r="H40" s="60">
        <v>0</v>
      </c>
      <c r="I40" s="60">
        <v>0</v>
      </c>
      <c r="J40" s="60">
        <v>0</v>
      </c>
      <c r="K40" s="60">
        <v>0</v>
      </c>
      <c r="L40" s="60">
        <v>0</v>
      </c>
      <c r="M40" s="60">
        <v>0</v>
      </c>
      <c r="N40" s="60">
        <v>0</v>
      </c>
      <c r="O40" s="60">
        <v>0</v>
      </c>
      <c r="P40" s="60">
        <v>0</v>
      </c>
      <c r="Q40" s="82">
        <v>0</v>
      </c>
      <c r="R40" s="82">
        <v>0</v>
      </c>
      <c r="S40" s="86" t="e">
        <f t="shared" si="6"/>
        <v>#DIV/0!</v>
      </c>
      <c r="U40" s="81"/>
    </row>
    <row r="41" spans="1:21">
      <c r="A41" s="61">
        <v>412</v>
      </c>
      <c r="B41" s="62" t="s">
        <v>652</v>
      </c>
      <c r="C41" s="63">
        <f t="shared" si="23"/>
        <v>0</v>
      </c>
      <c r="D41" s="60">
        <f>'Plan za unos u SAP'!I60+'Plan za unos u SAP'!I61+'Plan za unos u SAP'!I62</f>
        <v>0</v>
      </c>
      <c r="E41" s="60">
        <f>'Plan za unos u SAP'!I606+'Plan za unos u SAP'!I607+'Plan za unos u SAP'!I608+'Plan za unos u SAP'!I675+'Plan za unos u SAP'!I676+'Plan za unos u SAP'!I677</f>
        <v>0</v>
      </c>
      <c r="F41" s="60">
        <f>'Plan za unos u SAP'!I131+'Plan za unos u SAP'!I132+'Plan za unos u SAP'!I133</f>
        <v>0</v>
      </c>
      <c r="G41" s="60">
        <f>'Plan za unos u SAP'!I199+'Plan za unos u SAP'!I200+'Plan za unos u SAP'!I201+'Plan za unos u SAP'!I268+'Plan za unos u SAP'!I269+'Plan za unos u SAP'!I270</f>
        <v>0</v>
      </c>
      <c r="H41" s="60">
        <f>'Plan za unos u SAP'!I348+'Plan za unos u SAP'!I349+'Plan za unos u SAP'!I350</f>
        <v>0</v>
      </c>
      <c r="I41" s="60">
        <f>'Plan za unos u SAP'!I419+'Plan za unos u SAP'!I420+'Plan za unos u SAP'!I421+'Plan za unos u SAP'!I488+'Plan za unos u SAP'!I489+'Plan za unos u SAP'!I490</f>
        <v>0</v>
      </c>
      <c r="J41" s="60">
        <v>0</v>
      </c>
      <c r="K41" s="60">
        <f>'Plan za unos u SAP'!I751+'Plan za unos u SAP'!I752+'Plan za unos u SAP'!I753</f>
        <v>0</v>
      </c>
      <c r="L41" s="60">
        <f>'Plan za unos u SAP'!I826+'Plan za unos u SAP'!I827+'Plan za unos u SAP'!I828+'Plan za unos u SAP'!I895+'Plan za unos u SAP'!I896+'Plan za unos u SAP'!I897</f>
        <v>0</v>
      </c>
      <c r="M41" s="60">
        <v>0</v>
      </c>
      <c r="N41" s="60">
        <v>0</v>
      </c>
      <c r="O41" s="60">
        <v>0</v>
      </c>
      <c r="P41" s="60">
        <v>0</v>
      </c>
      <c r="Q41" s="82">
        <f>'Plan za unos u SAP'!G60+'Plan za unos u SAP'!G61+'Plan za unos u SAP'!G62+'Plan za unos u SAP'!G131+'Plan za unos u SAP'!G132+'Plan za unos u SAP'!G133+'Plan za unos u SAP'!G199+'Plan za unos u SAP'!G200+'Plan za unos u SAP'!G201+'Plan za unos u SAP'!G268+'Plan za unos u SAP'!G269+'Plan za unos u SAP'!G270+'Plan za unos u SAP'!G348+'Plan za unos u SAP'!G349+'Plan za unos u SAP'!G350+'Plan za unos u SAP'!G419+'Plan za unos u SAP'!G420+'Plan za unos u SAP'!G421+'Plan za unos u SAP'!G488+'Plan za unos u SAP'!G489+'Plan za unos u SAP'!G490+'Plan za unos u SAP'!G606+'Plan za unos u SAP'!G607+'Plan za unos u SAP'!G608+'Plan za unos u SAP'!G675+'Plan za unos u SAP'!G676+'Plan za unos u SAP'!G677+'Plan za unos u SAP'!G751+'Plan za unos u SAP'!G752+'Plan za unos u SAP'!G753+'Plan za unos u SAP'!G826+'Plan za unos u SAP'!G827+'Plan za unos u SAP'!G828+'Plan za unos u SAP'!G895+'Plan za unos u SAP'!G896+'Plan za unos u SAP'!G897</f>
        <v>0</v>
      </c>
      <c r="R41" s="82">
        <f>'Plan za unos u SAP'!H60+'Plan za unos u SAP'!H61+'Plan za unos u SAP'!H62+'Plan za unos u SAP'!H131+'Plan za unos u SAP'!H132+'Plan za unos u SAP'!H133+'Plan za unos u SAP'!H199+'Plan za unos u SAP'!H200+'Plan za unos u SAP'!H201+'Plan za unos u SAP'!H268+'Plan za unos u SAP'!H269+'Plan za unos u SAP'!H270+'Plan za unos u SAP'!H348+'Plan za unos u SAP'!H349+'Plan za unos u SAP'!H350+'Plan za unos u SAP'!H419+'Plan za unos u SAP'!H420+'Plan za unos u SAP'!H421+'Plan za unos u SAP'!H488+'Plan za unos u SAP'!H489+'Plan za unos u SAP'!H490+'Plan za unos u SAP'!H606+'Plan za unos u SAP'!H607+'Plan za unos u SAP'!H608+'Plan za unos u SAP'!H675+'Plan za unos u SAP'!H676+'Plan za unos u SAP'!H677+'Plan za unos u SAP'!H751+'Plan za unos u SAP'!H752+'Plan za unos u SAP'!H753+'Plan za unos u SAP'!H826+'Plan za unos u SAP'!H827+'Plan za unos u SAP'!H828+'Plan za unos u SAP'!H895+'Plan za unos u SAP'!H896+'Plan za unos u SAP'!H897</f>
        <v>0</v>
      </c>
      <c r="S41" s="86" t="e">
        <f t="shared" si="6"/>
        <v>#DIV/0!</v>
      </c>
      <c r="U41" s="81"/>
    </row>
    <row r="42" spans="1:21">
      <c r="A42" s="65">
        <v>42</v>
      </c>
      <c r="B42" s="66" t="s">
        <v>653</v>
      </c>
      <c r="C42" s="67">
        <f t="shared" si="23"/>
        <v>492413</v>
      </c>
      <c r="D42" s="67">
        <f t="shared" ref="D42:R42" si="29">SUM(D43:D48)</f>
        <v>94562</v>
      </c>
      <c r="E42" s="67">
        <f t="shared" si="29"/>
        <v>0</v>
      </c>
      <c r="F42" s="67">
        <f t="shared" si="29"/>
        <v>75000</v>
      </c>
      <c r="G42" s="67">
        <f t="shared" si="29"/>
        <v>136000</v>
      </c>
      <c r="H42" s="67">
        <f t="shared" si="29"/>
        <v>0</v>
      </c>
      <c r="I42" s="67">
        <f t="shared" si="29"/>
        <v>72427</v>
      </c>
      <c r="J42" s="67">
        <f t="shared" ref="J42" si="30">SUM(J43:J48)</f>
        <v>0</v>
      </c>
      <c r="K42" s="67">
        <f t="shared" si="29"/>
        <v>0</v>
      </c>
      <c r="L42" s="67">
        <f t="shared" si="29"/>
        <v>0</v>
      </c>
      <c r="M42" s="67">
        <f t="shared" si="29"/>
        <v>0</v>
      </c>
      <c r="N42" s="67">
        <f t="shared" si="29"/>
        <v>0</v>
      </c>
      <c r="O42" s="67">
        <f t="shared" si="29"/>
        <v>114424</v>
      </c>
      <c r="P42" s="67">
        <f t="shared" si="29"/>
        <v>0</v>
      </c>
      <c r="Q42" s="67">
        <f t="shared" si="29"/>
        <v>620000</v>
      </c>
      <c r="R42" s="67">
        <f t="shared" si="29"/>
        <v>425584.82</v>
      </c>
      <c r="S42" s="85">
        <f t="shared" si="6"/>
        <v>79.421451612903226</v>
      </c>
      <c r="U42" s="81"/>
    </row>
    <row r="43" spans="1:21">
      <c r="A43" s="61">
        <v>421</v>
      </c>
      <c r="B43" s="62" t="s">
        <v>654</v>
      </c>
      <c r="C43" s="63">
        <f t="shared" si="23"/>
        <v>0</v>
      </c>
      <c r="D43" s="60">
        <f>'Plan za unos u SAP'!I63+'Plan za unos u SAP'!I64+'Plan za unos u SAP'!I65</f>
        <v>0</v>
      </c>
      <c r="E43" s="60">
        <f>'Plan za unos u SAP'!I609+'Plan za unos u SAP'!I610+'Plan za unos u SAP'!I611+'Plan za unos u SAP'!I678+'Plan za unos u SAP'!I679+'Plan za unos u SAP'!I680+'Plan za unos u SAP'!I702</f>
        <v>0</v>
      </c>
      <c r="F43" s="60">
        <f>'Plan za unos u SAP'!I134+'Plan za unos u SAP'!I135+'Plan za unos u SAP'!I136</f>
        <v>0</v>
      </c>
      <c r="G43" s="60">
        <f>'Plan za unos u SAP'!I202+'Plan za unos u SAP'!I203+'Plan za unos u SAP'!I204+'Plan za unos u SAP'!I271+'Plan za unos u SAP'!I272+'Plan za unos u SAP'!I273</f>
        <v>0</v>
      </c>
      <c r="H43" s="60">
        <f>'Plan za unos u SAP'!I351+'Plan za unos u SAP'!I352+'Plan za unos u SAP'!I353</f>
        <v>0</v>
      </c>
      <c r="I43" s="60">
        <f>'Plan za unos u SAP'!I422+'Plan za unos u SAP'!I423+'Plan za unos u SAP'!I424+'Plan za unos u SAP'!I491+'Plan za unos u SAP'!I492+'Plan za unos u SAP'!I493</f>
        <v>0</v>
      </c>
      <c r="J43" s="60">
        <v>0</v>
      </c>
      <c r="K43" s="60">
        <f>'Plan za unos u SAP'!I754+'Plan za unos u SAP'!I755+'Plan za unos u SAP'!I756</f>
        <v>0</v>
      </c>
      <c r="L43" s="60">
        <f>'Plan za unos u SAP'!I778+'Plan za unos u SAP'!I829+'Plan za unos u SAP'!I830+'Plan za unos u SAP'!I831+'Plan za unos u SAP'!I898+'Plan za unos u SAP'!I899+'Plan za unos u SAP'!I900</f>
        <v>0</v>
      </c>
      <c r="M43" s="60">
        <v>0</v>
      </c>
      <c r="N43" s="60">
        <v>0</v>
      </c>
      <c r="O43" s="60">
        <v>0</v>
      </c>
      <c r="P43" s="60">
        <v>0</v>
      </c>
      <c r="Q43" s="82">
        <f>'Plan za unos u SAP'!G63+'Plan za unos u SAP'!G64+'Plan za unos u SAP'!G65+'Plan za unos u SAP'!G134+'Plan za unos u SAP'!G135+'Plan za unos u SAP'!G136+'Plan za unos u SAP'!G202+'Plan za unos u SAP'!G203+'Plan za unos u SAP'!G204+'Plan za unos u SAP'!G271+'Plan za unos u SAP'!G272+'Plan za unos u SAP'!G273+'Plan za unos u SAP'!G351+'Plan za unos u SAP'!G352+'Plan za unos u SAP'!G353+'Plan za unos u SAP'!G422+'Plan za unos u SAP'!G423+'Plan za unos u SAP'!G424+'Plan za unos u SAP'!G491+'Plan za unos u SAP'!G492+'Plan za unos u SAP'!G493+'Plan za unos u SAP'!G609+'Plan za unos u SAP'!G610+'Plan za unos u SAP'!G611+'Plan za unos u SAP'!G678+'Plan za unos u SAP'!G679+'Plan za unos u SAP'!G680+'Plan za unos u SAP'!G702+'Plan za unos u SAP'!G754+'Plan za unos u SAP'!G755+'Plan za unos u SAP'!G756+'Plan za unos u SAP'!G778+'Plan za unos u SAP'!G829+'Plan za unos u SAP'!G830+'Plan za unos u SAP'!G831+'Plan za unos u SAP'!G898+'Plan za unos u SAP'!G899+'Plan za unos u SAP'!G900</f>
        <v>0</v>
      </c>
      <c r="R43" s="82">
        <f>'Plan za unos u SAP'!H63+'Plan za unos u SAP'!H64+'Plan za unos u SAP'!H65+'Plan za unos u SAP'!H134+'Plan za unos u SAP'!H135+'Plan za unos u SAP'!H136+'Plan za unos u SAP'!H202+'Plan za unos u SAP'!H203+'Plan za unos u SAP'!H204+'Plan za unos u SAP'!H271+'Plan za unos u SAP'!H272+'Plan za unos u SAP'!H273+'Plan za unos u SAP'!H351+'Plan za unos u SAP'!H352+'Plan za unos u SAP'!H353+'Plan za unos u SAP'!H422+'Plan za unos u SAP'!H423+'Plan za unos u SAP'!H424+'Plan za unos u SAP'!H491+'Plan za unos u SAP'!H492+'Plan za unos u SAP'!H493+'Plan za unos u SAP'!H609+'Plan za unos u SAP'!H610+'Plan za unos u SAP'!H611+'Plan za unos u SAP'!H678+'Plan za unos u SAP'!H679+'Plan za unos u SAP'!H680+'Plan za unos u SAP'!H702+'Plan za unos u SAP'!H754+'Plan za unos u SAP'!H755+'Plan za unos u SAP'!H756+'Plan za unos u SAP'!H778+'Plan za unos u SAP'!H829+'Plan za unos u SAP'!H830+'Plan za unos u SAP'!H831+'Plan za unos u SAP'!H898+'Plan za unos u SAP'!H899+'Plan za unos u SAP'!H900</f>
        <v>0</v>
      </c>
      <c r="S43" s="86" t="e">
        <f t="shared" si="6"/>
        <v>#DIV/0!</v>
      </c>
      <c r="U43" s="81"/>
    </row>
    <row r="44" spans="1:21">
      <c r="A44" s="61">
        <v>422</v>
      </c>
      <c r="B44" s="62" t="s">
        <v>655</v>
      </c>
      <c r="C44" s="63">
        <f t="shared" si="23"/>
        <v>421635</v>
      </c>
      <c r="D44" s="60">
        <f>'Plan za unos u SAP'!I66+'Plan za unos u SAP'!I67+'Plan za unos u SAP'!I68+'Plan za unos u SAP'!I69+'Plan za unos u SAP'!I70+'Plan za unos u SAP'!I71+'Plan za unos u SAP'!I72</f>
        <v>36562</v>
      </c>
      <c r="E44" s="60">
        <f>'Plan za unos u SAP'!I612+'Plan za unos u SAP'!I613+'Plan za unos u SAP'!I614+'Plan za unos u SAP'!I615+'Plan za unos u SAP'!I616+'Plan za unos u SAP'!I617+'Plan za unos u SAP'!I618+'Plan za unos u SAP'!I681+'Plan za unos u SAP'!I682+'Plan za unos u SAP'!I683+'Plan za unos u SAP'!I684+'Plan za unos u SAP'!I685+'Plan za unos u SAP'!I686+'Plan za unos u SAP'!I687</f>
        <v>0</v>
      </c>
      <c r="F44" s="60">
        <f>'Plan za unos u SAP'!I137+'Plan za unos u SAP'!I138+'Plan za unos u SAP'!I139+'Plan za unos u SAP'!I140+'Plan za unos u SAP'!I141+'Plan za unos u SAP'!I142+'Plan za unos u SAP'!I143</f>
        <v>75000</v>
      </c>
      <c r="G44" s="60">
        <f>'Plan za unos u SAP'!I205+'Plan za unos u SAP'!I206+'Plan za unos u SAP'!I207+'Plan za unos u SAP'!I208+'Plan za unos u SAP'!I209+'Plan za unos u SAP'!I210+'Plan za unos u SAP'!I211+'Plan za unos u SAP'!I274+'Plan za unos u SAP'!I275+'Plan za unos u SAP'!I276+'Plan za unos u SAP'!I277+'Plan za unos u SAP'!I278+'Plan za unos u SAP'!I279+'Plan za unos u SAP'!I280</f>
        <v>136000</v>
      </c>
      <c r="H44" s="60">
        <f>'Plan za unos u SAP'!I354+'Plan za unos u SAP'!I355+'Plan za unos u SAP'!I356+'Plan za unos u SAP'!I357+'Plan za unos u SAP'!I358+'Plan za unos u SAP'!I359+'Plan za unos u SAP'!I360</f>
        <v>0</v>
      </c>
      <c r="I44" s="60">
        <f>'Plan za unos u SAP'!I425+'Plan za unos u SAP'!I426+'Plan za unos u SAP'!I427+'Plan za unos u SAP'!I428+'Plan za unos u SAP'!I429+'Plan za unos u SAP'!I430+'Plan za unos u SAP'!I431+'Plan za unos u SAP'!I494+'Plan za unos u SAP'!I495+'Plan za unos u SAP'!I496+'Plan za unos u SAP'!I497+'Plan za unos u SAP'!I498+'Plan za unos u SAP'!I499+'Plan za unos u SAP'!I500</f>
        <v>59649</v>
      </c>
      <c r="J44" s="60">
        <v>0</v>
      </c>
      <c r="K44" s="60">
        <f>'Plan za unos u SAP'!I757+'Plan za unos u SAP'!I758+'Plan za unos u SAP'!I759+'Plan za unos u SAP'!I760+'Plan za unos u SAP'!I761+'Plan za unos u SAP'!I762+'Plan za unos u SAP'!I763</f>
        <v>0</v>
      </c>
      <c r="L44" s="60">
        <f>'Plan za unos u SAP'!I832+'Plan za unos u SAP'!I833+'Plan za unos u SAP'!I834+'Plan za unos u SAP'!I835+'Plan za unos u SAP'!I836+'Plan za unos u SAP'!I837+'Plan za unos u SAP'!I838+'Plan za unos u SAP'!I901+'Plan za unos u SAP'!I902+'Plan za unos u SAP'!I903+'Plan za unos u SAP'!I904+'Plan za unos u SAP'!I905+'Plan za unos u SAP'!I906+'Plan za unos u SAP'!I907</f>
        <v>0</v>
      </c>
      <c r="M44" s="60">
        <f>'Plan za unos u SAP'!I518+'Plan za unos u SAP'!I544+'Plan za unos u SAP'!I545+'Plan za unos u SAP'!I546</f>
        <v>0</v>
      </c>
      <c r="N44" s="60">
        <v>0</v>
      </c>
      <c r="O44" s="60">
        <f>'Plan za unos u SAP'!I556</f>
        <v>114424</v>
      </c>
      <c r="P44" s="60">
        <v>0</v>
      </c>
      <c r="Q44" s="82">
        <f>'Plan za unos u SAP'!G66+'Plan za unos u SAP'!G67+'Plan za unos u SAP'!G68+'Plan za unos u SAP'!G69+'Plan za unos u SAP'!G70+'Plan za unos u SAP'!G71+'Plan za unos u SAP'!G72+'Plan za unos u SAP'!G137+'Plan za unos u SAP'!G138+'Plan za unos u SAP'!G139+'Plan za unos u SAP'!G140+'Plan za unos u SAP'!G141+'Plan za unos u SAP'!G142+'Plan za unos u SAP'!G143+'Plan za unos u SAP'!G205+'Plan za unos u SAP'!G206+'Plan za unos u SAP'!G207+'Plan za unos u SAP'!G208+'Plan za unos u SAP'!G209+'Plan za unos u SAP'!G210+'Plan za unos u SAP'!G211+'Plan za unos u SAP'!G274+'Plan za unos u SAP'!G275+'Plan za unos u SAP'!G276+'Plan za unos u SAP'!G277+'Plan za unos u SAP'!G278+'Plan za unos u SAP'!G279+'Plan za unos u SAP'!G280+'Plan za unos u SAP'!G354+'Plan za unos u SAP'!G355+'Plan za unos u SAP'!G356+'Plan za unos u SAP'!G357+'Plan za unos u SAP'!G358+'Plan za unos u SAP'!G359+'Plan za unos u SAP'!G360+'Plan za unos u SAP'!G425+'Plan za unos u SAP'!G426+'Plan za unos u SAP'!G427+'Plan za unos u SAP'!G428+'Plan za unos u SAP'!G429+'Plan za unos u SAP'!G430+'Plan za unos u SAP'!G431+'Plan za unos u SAP'!G494+'Plan za unos u SAP'!G495+'Plan za unos u SAP'!G496+'Plan za unos u SAP'!G497+'Plan za unos u SAP'!G498+'Plan za unos u SAP'!G499+'Plan za unos u SAP'!G500+'Plan za unos u SAP'!G518+'Plan za unos u SAP'!G544+'Plan za unos u SAP'!G545+'Plan za unos u SAP'!G546+'Plan za unos u SAP'!G556+'Plan za unos u SAP'!G612+'Plan za unos u SAP'!G613+'Plan za unos u SAP'!G614+'Plan za unos u SAP'!G615+'Plan za unos u SAP'!G616+'Plan za unos u SAP'!G617+'Plan za unos u SAP'!G618+'Plan za unos u SAP'!G681+'Plan za unos u SAP'!G682+'Plan za unos u SAP'!G683+'Plan za unos u SAP'!G684+'Plan za unos u SAP'!G685+'Plan za unos u SAP'!G686+'Plan za unos u SAP'!G687+'Plan za unos u SAP'!G757+'Plan za unos u SAP'!G758+'Plan za unos u SAP'!G759+'Plan za unos u SAP'!G760+'Plan za unos u SAP'!G761+'Plan za unos u SAP'!G762+'Plan za unos u SAP'!G763+'Plan za unos u SAP'!G832+'Plan za unos u SAP'!G833+'Plan za unos u SAP'!G834+'Plan za unos u SAP'!G835+'Plan za unos u SAP'!G836+'Plan za unos u SAP'!G837+'Plan za unos u SAP'!G838+'Plan za unos u SAP'!G901+'Plan za unos u SAP'!G902+'Plan za unos u SAP'!G903+'Plan za unos u SAP'!G904+'Plan za unos u SAP'!G905+'Plan za unos u SAP'!G906+'Plan za unos u SAP'!G907</f>
        <v>510000</v>
      </c>
      <c r="R44" s="82">
        <f>'Plan za unos u SAP'!H66+'Plan za unos u SAP'!H67+'Plan za unos u SAP'!H68+'Plan za unos u SAP'!H69+'Plan za unos u SAP'!H70+'Plan za unos u SAP'!H71+'Plan za unos u SAP'!H72+'Plan za unos u SAP'!H137+'Plan za unos u SAP'!H138+'Plan za unos u SAP'!H139+'Plan za unos u SAP'!H140+'Plan za unos u SAP'!H141+'Plan za unos u SAP'!H142+'Plan za unos u SAP'!H143+'Plan za unos u SAP'!H205+'Plan za unos u SAP'!H206+'Plan za unos u SAP'!H207+'Plan za unos u SAP'!H208+'Plan za unos u SAP'!H209+'Plan za unos u SAP'!H210+'Plan za unos u SAP'!H211+'Plan za unos u SAP'!H274+'Plan za unos u SAP'!H275+'Plan za unos u SAP'!H276+'Plan za unos u SAP'!H277+'Plan za unos u SAP'!H278+'Plan za unos u SAP'!H279+'Plan za unos u SAP'!H280+'Plan za unos u SAP'!H354+'Plan za unos u SAP'!H355+'Plan za unos u SAP'!H356+'Plan za unos u SAP'!H357+'Plan za unos u SAP'!H358+'Plan za unos u SAP'!H359+'Plan za unos u SAP'!H360+'Plan za unos u SAP'!H425+'Plan za unos u SAP'!H426+'Plan za unos u SAP'!H427+'Plan za unos u SAP'!H428+'Plan za unos u SAP'!H429+'Plan za unos u SAP'!H430+'Plan za unos u SAP'!H431+'Plan za unos u SAP'!H494+'Plan za unos u SAP'!H495+'Plan za unos u SAP'!H496+'Plan za unos u SAP'!H497+'Plan za unos u SAP'!H498+'Plan za unos u SAP'!H499+'Plan za unos u SAP'!H500+'Plan za unos u SAP'!H518+'Plan za unos u SAP'!H544+'Plan za unos u SAP'!H545+'Plan za unos u SAP'!H546+'Plan za unos u SAP'!H556+'Plan za unos u SAP'!H612+'Plan za unos u SAP'!H613+'Plan za unos u SAP'!H614+'Plan za unos u SAP'!H615+'Plan za unos u SAP'!H616+'Plan za unos u SAP'!H617+'Plan za unos u SAP'!H618+'Plan za unos u SAP'!H681+'Plan za unos u SAP'!H682+'Plan za unos u SAP'!H683+'Plan za unos u SAP'!H684+'Plan za unos u SAP'!H685+'Plan za unos u SAP'!H686+'Plan za unos u SAP'!H687+'Plan za unos u SAP'!H757+'Plan za unos u SAP'!H758+'Plan za unos u SAP'!H759+'Plan za unos u SAP'!H760+'Plan za unos u SAP'!H761+'Plan za unos u SAP'!H762+'Plan za unos u SAP'!H763+'Plan za unos u SAP'!H832+'Plan za unos u SAP'!H833+'Plan za unos u SAP'!H834+'Plan za unos u SAP'!H835+'Plan za unos u SAP'!H836+'Plan za unos u SAP'!H837+'Plan za unos u SAP'!H838+'Plan za unos u SAP'!H901+'Plan za unos u SAP'!H902+'Plan za unos u SAP'!H903+'Plan za unos u SAP'!H904+'Plan za unos u SAP'!H905+'Plan za unos u SAP'!H906+'Plan za unos u SAP'!H907</f>
        <v>357283.95</v>
      </c>
      <c r="S44" s="86">
        <f t="shared" si="6"/>
        <v>82.673529411764704</v>
      </c>
      <c r="U44" s="81"/>
    </row>
    <row r="45" spans="1:21">
      <c r="A45" s="64">
        <v>423</v>
      </c>
      <c r="B45" s="62" t="s">
        <v>656</v>
      </c>
      <c r="C45" s="63">
        <f t="shared" si="23"/>
        <v>0</v>
      </c>
      <c r="D45" s="60">
        <f>'Plan za unos u SAP'!I73+'Plan za unos u SAP'!I74</f>
        <v>0</v>
      </c>
      <c r="E45" s="60">
        <f>'Plan za unos u SAP'!I619+'Plan za unos u SAP'!I620+'Plan za unos u SAP'!I688+'Plan za unos u SAP'!I689</f>
        <v>0</v>
      </c>
      <c r="F45" s="60">
        <f>'Plan za unos u SAP'!I144+'Plan za unos u SAP'!I145</f>
        <v>0</v>
      </c>
      <c r="G45" s="60">
        <f>'Plan za unos u SAP'!I212+'Plan za unos u SAP'!I213+'Plan za unos u SAP'!I281+'Plan za unos u SAP'!I282</f>
        <v>0</v>
      </c>
      <c r="H45" s="60">
        <f>'Plan za unos u SAP'!I361+'Plan za unos u SAP'!I362</f>
        <v>0</v>
      </c>
      <c r="I45" s="60">
        <f>'Plan za unos u SAP'!I432+'Plan za unos u SAP'!I433+'Plan za unos u SAP'!I501+'Plan za unos u SAP'!I502</f>
        <v>0</v>
      </c>
      <c r="J45" s="60">
        <v>0</v>
      </c>
      <c r="K45" s="60">
        <f>'Plan za unos u SAP'!I764+'Plan za unos u SAP'!I765</f>
        <v>0</v>
      </c>
      <c r="L45" s="60">
        <f>'Plan za unos u SAP'!I839+'Plan za unos u SAP'!I840+'Plan za unos u SAP'!I908+'Plan za unos u SAP'!I909</f>
        <v>0</v>
      </c>
      <c r="M45" s="60">
        <v>0</v>
      </c>
      <c r="N45" s="60">
        <v>0</v>
      </c>
      <c r="O45" s="60">
        <v>0</v>
      </c>
      <c r="P45" s="60">
        <v>0</v>
      </c>
      <c r="Q45" s="82">
        <f>'Plan za unos u SAP'!G73+'Plan za unos u SAP'!G74+'Plan za unos u SAP'!G144+'Plan za unos u SAP'!G145+'Plan za unos u SAP'!G212+'Plan za unos u SAP'!G213+'Plan za unos u SAP'!G281+'Plan za unos u SAP'!G282+'Plan za unos u SAP'!G361+'Plan za unos u SAP'!G362+'Plan za unos u SAP'!G432+'Plan za unos u SAP'!G433+'Plan za unos u SAP'!G501+'Plan za unos u SAP'!G502+'Plan za unos u SAP'!G619+'Plan za unos u SAP'!G620+'Plan za unos u SAP'!G688+'Plan za unos u SAP'!G689+'Plan za unos u SAP'!G764+'Plan za unos u SAP'!G765+'Plan za unos u SAP'!G839+'Plan za unos u SAP'!G840+'Plan za unos u SAP'!G908+'Plan za unos u SAP'!G909</f>
        <v>0</v>
      </c>
      <c r="R45" s="82">
        <f>'Plan za unos u SAP'!H73+'Plan za unos u SAP'!H74+'Plan za unos u SAP'!H144+'Plan za unos u SAP'!H145+'Plan za unos u SAP'!H212+'Plan za unos u SAP'!H213+'Plan za unos u SAP'!H281+'Plan za unos u SAP'!H282+'Plan za unos u SAP'!H361+'Plan za unos u SAP'!H362+'Plan za unos u SAP'!H432+'Plan za unos u SAP'!H433+'Plan za unos u SAP'!H501+'Plan za unos u SAP'!H502+'Plan za unos u SAP'!H619+'Plan za unos u SAP'!H620+'Plan za unos u SAP'!H688+'Plan za unos u SAP'!H689+'Plan za unos u SAP'!H764+'Plan za unos u SAP'!H765+'Plan za unos u SAP'!H839+'Plan za unos u SAP'!H840+'Plan za unos u SAP'!H908+'Plan za unos u SAP'!H909</f>
        <v>0</v>
      </c>
      <c r="S45" s="86" t="e">
        <f t="shared" si="6"/>
        <v>#DIV/0!</v>
      </c>
      <c r="U45" s="81"/>
    </row>
    <row r="46" spans="1:21">
      <c r="A46" s="64">
        <v>424</v>
      </c>
      <c r="B46" s="68" t="s">
        <v>657</v>
      </c>
      <c r="C46" s="63">
        <f t="shared" si="23"/>
        <v>70778</v>
      </c>
      <c r="D46" s="60">
        <f>'Plan za unos u SAP'!I75+'Plan za unos u SAP'!I76</f>
        <v>58000</v>
      </c>
      <c r="E46" s="60">
        <f>'Plan za unos u SAP'!I621+'Plan za unos u SAP'!I622+'Plan za unos u SAP'!I690+'Plan za unos u SAP'!I691</f>
        <v>0</v>
      </c>
      <c r="F46" s="60">
        <f>'Plan za unos u SAP'!I146+'Plan za unos u SAP'!I147</f>
        <v>0</v>
      </c>
      <c r="G46" s="60">
        <f>'Plan za unos u SAP'!I214+'Plan za unos u SAP'!I215+'Plan za unos u SAP'!I283+'Plan za unos u SAP'!I284</f>
        <v>0</v>
      </c>
      <c r="H46" s="60">
        <f>'Plan za unos u SAP'!I300+'Plan za unos u SAP'!I363+'Plan za unos u SAP'!I364</f>
        <v>0</v>
      </c>
      <c r="I46" s="60">
        <f>'Plan za unos u SAP'!I434+'Plan za unos u SAP'!I435+'Plan za unos u SAP'!I503+'Plan za unos u SAP'!I504</f>
        <v>12778</v>
      </c>
      <c r="J46" s="60">
        <v>0</v>
      </c>
      <c r="K46" s="60">
        <f>'Plan za unos u SAP'!I766+'Plan za unos u SAP'!I767</f>
        <v>0</v>
      </c>
      <c r="L46" s="60">
        <f>'Plan za unos u SAP'!I841+'Plan za unos u SAP'!I842+'Plan za unos u SAP'!I910+'Plan za unos u SAP'!I911</f>
        <v>0</v>
      </c>
      <c r="M46" s="60">
        <f>'Plan za unos u SAP'!I547</f>
        <v>0</v>
      </c>
      <c r="N46" s="60">
        <v>0</v>
      </c>
      <c r="O46" s="60">
        <f>'Plan za unos u SAP'!I557</f>
        <v>0</v>
      </c>
      <c r="P46" s="60">
        <v>0</v>
      </c>
      <c r="Q46" s="82">
        <f>'Plan za unos u SAP'!G75+'Plan za unos u SAP'!G76+'Plan za unos u SAP'!G146+'Plan za unos u SAP'!G147+'Plan za unos u SAP'!G214+'Plan za unos u SAP'!G215+'Plan za unos u SAP'!G283+'Plan za unos u SAP'!G284+'Plan za unos u SAP'!G300+'Plan za unos u SAP'!G363+'Plan za unos u SAP'!G364+'Plan za unos u SAP'!G434+'Plan za unos u SAP'!G435+'Plan za unos u SAP'!G503+'Plan za unos u SAP'!G504+'Plan za unos u SAP'!G547+'Plan za unos u SAP'!G557+'Plan za unos u SAP'!G621+'Plan za unos u SAP'!G622+'Plan za unos u SAP'!G690+'Plan za unos u SAP'!G691+'Plan za unos u SAP'!G766+'Plan za unos u SAP'!G767+'Plan za unos u SAP'!G841+'Plan za unos u SAP'!G842+'Plan za unos u SAP'!G910+'Plan za unos u SAP'!G911</f>
        <v>110000</v>
      </c>
      <c r="R46" s="82">
        <f>'Plan za unos u SAP'!H75+'Plan za unos u SAP'!H76+'Plan za unos u SAP'!H146+'Plan za unos u SAP'!H147+'Plan za unos u SAP'!H214+'Plan za unos u SAP'!H215+'Plan za unos u SAP'!H283+'Plan za unos u SAP'!H284+'Plan za unos u SAP'!H300+'Plan za unos u SAP'!H363+'Plan za unos u SAP'!H364+'Plan za unos u SAP'!H434+'Plan za unos u SAP'!H435+'Plan za unos u SAP'!H503+'Plan za unos u SAP'!H504+'Plan za unos u SAP'!H547+'Plan za unos u SAP'!H557+'Plan za unos u SAP'!H621+'Plan za unos u SAP'!H622+'Plan za unos u SAP'!H690+'Plan za unos u SAP'!H691+'Plan za unos u SAP'!H766+'Plan za unos u SAP'!H767+'Plan za unos u SAP'!H841+'Plan za unos u SAP'!H842+'Plan za unos u SAP'!H910+'Plan za unos u SAP'!H911</f>
        <v>68300.87</v>
      </c>
      <c r="S46" s="86">
        <f t="shared" si="6"/>
        <v>64.343636363636364</v>
      </c>
      <c r="U46" s="81"/>
    </row>
    <row r="47" spans="1:21">
      <c r="A47" s="64">
        <v>425</v>
      </c>
      <c r="B47" s="68" t="s">
        <v>658</v>
      </c>
      <c r="C47" s="63">
        <f t="shared" si="23"/>
        <v>0</v>
      </c>
      <c r="D47" s="60">
        <v>0</v>
      </c>
      <c r="E47" s="60">
        <v>0</v>
      </c>
      <c r="F47" s="60">
        <v>0</v>
      </c>
      <c r="G47" s="60">
        <v>0</v>
      </c>
      <c r="H47" s="60">
        <v>0</v>
      </c>
      <c r="I47" s="60">
        <v>0</v>
      </c>
      <c r="J47" s="60">
        <v>0</v>
      </c>
      <c r="K47" s="60">
        <v>0</v>
      </c>
      <c r="L47" s="60">
        <v>0</v>
      </c>
      <c r="M47" s="60">
        <v>0</v>
      </c>
      <c r="N47" s="60">
        <v>0</v>
      </c>
      <c r="O47" s="60">
        <v>0</v>
      </c>
      <c r="P47" s="60">
        <v>0</v>
      </c>
      <c r="Q47" s="82">
        <v>0</v>
      </c>
      <c r="R47" s="82">
        <v>0</v>
      </c>
      <c r="S47" s="86" t="e">
        <f t="shared" si="6"/>
        <v>#DIV/0!</v>
      </c>
      <c r="U47" s="81"/>
    </row>
    <row r="48" spans="1:21">
      <c r="A48" s="64">
        <v>426</v>
      </c>
      <c r="B48" s="62" t="s">
        <v>659</v>
      </c>
      <c r="C48" s="63">
        <f t="shared" si="23"/>
        <v>0</v>
      </c>
      <c r="D48" s="60">
        <f>'Plan za unos u SAP'!I77+'Plan za unos u SAP'!I78</f>
        <v>0</v>
      </c>
      <c r="E48" s="60">
        <f>'Plan za unos u SAP'!I623+'Plan za unos u SAP'!I624+'Plan za unos u SAP'!I692+'Plan za unos u SAP'!I693</f>
        <v>0</v>
      </c>
      <c r="F48" s="60">
        <f>'Plan za unos u SAP'!I148+'Plan za unos u SAP'!I149</f>
        <v>0</v>
      </c>
      <c r="G48" s="60">
        <f>'Plan za unos u SAP'!I216+'Plan za unos u SAP'!I217+'Plan za unos u SAP'!I285+'Plan za unos u SAP'!I286</f>
        <v>0</v>
      </c>
      <c r="H48" s="60">
        <f>'Plan za unos u SAP'!I365+'Plan za unos u SAP'!I366</f>
        <v>0</v>
      </c>
      <c r="I48" s="60">
        <f>'Plan za unos u SAP'!I436+'Plan za unos u SAP'!I437+'Plan za unos u SAP'!I505+'Plan za unos u SAP'!I506</f>
        <v>0</v>
      </c>
      <c r="J48" s="60">
        <v>0</v>
      </c>
      <c r="K48" s="60">
        <f>'Plan za unos u SAP'!I768+'Plan za unos u SAP'!I769</f>
        <v>0</v>
      </c>
      <c r="L48" s="60">
        <f>'Plan za unos u SAP'!I843+'Plan za unos u SAP'!I844+'Plan za unos u SAP'!I912+'Plan za unos u SAP'!I913</f>
        <v>0</v>
      </c>
      <c r="M48" s="60">
        <f>'Plan za unos u SAP'!I548</f>
        <v>0</v>
      </c>
      <c r="N48" s="60">
        <v>0</v>
      </c>
      <c r="O48" s="60">
        <v>0</v>
      </c>
      <c r="P48" s="60">
        <v>0</v>
      </c>
      <c r="Q48" s="82">
        <f>'Plan za unos u SAP'!G77+'Plan za unos u SAP'!G78+'Plan za unos u SAP'!G148+'Plan za unos u SAP'!G149+'Plan za unos u SAP'!G216+'Plan za unos u SAP'!G217+'Plan za unos u SAP'!G285+'Plan za unos u SAP'!G286+'Plan za unos u SAP'!G365+'Plan za unos u SAP'!G366+'Plan za unos u SAP'!G436+'Plan za unos u SAP'!G437+'Plan za unos u SAP'!G505+'Plan za unos u SAP'!G506+'Plan za unos u SAP'!G548+'Plan za unos u SAP'!G623+'Plan za unos u SAP'!G624+'Plan za unos u SAP'!G692+'Plan za unos u SAP'!G693+'Plan za unos u SAP'!G768+'Plan za unos u SAP'!G769+'Plan za unos u SAP'!G843+'Plan za unos u SAP'!G844+'Plan za unos u SAP'!G912+'Plan za unos u SAP'!G913</f>
        <v>0</v>
      </c>
      <c r="R48" s="82">
        <f>'Plan za unos u SAP'!H77+'Plan za unos u SAP'!H78+'Plan za unos u SAP'!H148+'Plan za unos u SAP'!H149+'Plan za unos u SAP'!H216+'Plan za unos u SAP'!H217+'Plan za unos u SAP'!H285+'Plan za unos u SAP'!H286+'Plan za unos u SAP'!H365+'Plan za unos u SAP'!H366+'Plan za unos u SAP'!H436+'Plan za unos u SAP'!H437+'Plan za unos u SAP'!H505+'Plan za unos u SAP'!H506+'Plan za unos u SAP'!H548+'Plan za unos u SAP'!H623+'Plan za unos u SAP'!H624+'Plan za unos u SAP'!H692+'Plan za unos u SAP'!H693+'Plan za unos u SAP'!H768+'Plan za unos u SAP'!H769+'Plan za unos u SAP'!H843+'Plan za unos u SAP'!H844+'Plan za unos u SAP'!H912+'Plan za unos u SAP'!H913</f>
        <v>0</v>
      </c>
      <c r="S48" s="86" t="e">
        <f t="shared" si="6"/>
        <v>#DIV/0!</v>
      </c>
      <c r="U48" s="81"/>
    </row>
    <row r="49" spans="1:21">
      <c r="A49" s="54">
        <v>43</v>
      </c>
      <c r="B49" s="55" t="s">
        <v>660</v>
      </c>
      <c r="C49" s="67">
        <f t="shared" si="23"/>
        <v>0</v>
      </c>
      <c r="D49" s="57">
        <f>SUM(D50)</f>
        <v>0</v>
      </c>
      <c r="E49" s="57">
        <f>SUM(E50)</f>
        <v>0</v>
      </c>
      <c r="F49" s="57">
        <f>SUM(F50)</f>
        <v>0</v>
      </c>
      <c r="G49" s="57">
        <f t="shared" ref="G49:P49" si="31">SUM(G50)</f>
        <v>0</v>
      </c>
      <c r="H49" s="57">
        <f t="shared" si="31"/>
        <v>0</v>
      </c>
      <c r="I49" s="57">
        <f t="shared" si="31"/>
        <v>0</v>
      </c>
      <c r="J49" s="57">
        <f t="shared" si="31"/>
        <v>0</v>
      </c>
      <c r="K49" s="57">
        <f t="shared" si="31"/>
        <v>0</v>
      </c>
      <c r="L49" s="57">
        <f t="shared" si="31"/>
        <v>0</v>
      </c>
      <c r="M49" s="57">
        <f t="shared" si="31"/>
        <v>0</v>
      </c>
      <c r="N49" s="57">
        <f t="shared" si="31"/>
        <v>0</v>
      </c>
      <c r="O49" s="57">
        <f t="shared" si="31"/>
        <v>0</v>
      </c>
      <c r="P49" s="57">
        <f t="shared" si="31"/>
        <v>0</v>
      </c>
      <c r="Q49" s="57">
        <f>Q50</f>
        <v>0</v>
      </c>
      <c r="R49" s="57">
        <f>R50</f>
        <v>0</v>
      </c>
      <c r="S49" s="85" t="e">
        <f t="shared" si="6"/>
        <v>#DIV/0!</v>
      </c>
      <c r="U49" s="81"/>
    </row>
    <row r="50" spans="1:21">
      <c r="A50" s="61">
        <v>431</v>
      </c>
      <c r="B50" s="62" t="s">
        <v>661</v>
      </c>
      <c r="C50" s="63">
        <f t="shared" si="23"/>
        <v>0</v>
      </c>
      <c r="D50" s="60">
        <f>'Plan za unos u SAP'!I79</f>
        <v>0</v>
      </c>
      <c r="E50" s="60">
        <f>'Plan za unos u SAP'!I625+'Plan za unos u SAP'!I694</f>
        <v>0</v>
      </c>
      <c r="F50" s="60">
        <f>'Plan za unos u SAP'!I150</f>
        <v>0</v>
      </c>
      <c r="G50" s="60">
        <f>'Plan za unos u SAP'!I218+'Plan za unos u SAP'!I287</f>
        <v>0</v>
      </c>
      <c r="H50" s="60">
        <f>'Plan za unos u SAP'!I367</f>
        <v>0</v>
      </c>
      <c r="I50" s="60">
        <f>'Plan za unos u SAP'!I438+'Plan za unos u SAP'!I507</f>
        <v>0</v>
      </c>
      <c r="J50" s="60">
        <v>0</v>
      </c>
      <c r="K50" s="60">
        <f>'Plan za unos u SAP'!I770</f>
        <v>0</v>
      </c>
      <c r="L50" s="60">
        <f>'Plan za unos u SAP'!I845+'Plan za unos u SAP'!I914</f>
        <v>0</v>
      </c>
      <c r="M50" s="60">
        <v>0</v>
      </c>
      <c r="N50" s="60">
        <v>0</v>
      </c>
      <c r="O50" s="60">
        <v>0</v>
      </c>
      <c r="P50" s="60">
        <v>0</v>
      </c>
      <c r="Q50" s="82">
        <f>'Plan za unos u SAP'!G79+'Plan za unos u SAP'!G150+'Plan za unos u SAP'!G218+'Plan za unos u SAP'!G287+'Plan za unos u SAP'!G367+'Plan za unos u SAP'!G438+'Plan za unos u SAP'!G507+'Plan za unos u SAP'!G625+'Plan za unos u SAP'!G694+'Plan za unos u SAP'!G770+'Plan za unos u SAP'!G845+'Plan za unos u SAP'!G914</f>
        <v>0</v>
      </c>
      <c r="R50" s="82">
        <f>'Plan za unos u SAP'!H79+'Plan za unos u SAP'!H150+'Plan za unos u SAP'!H218+'Plan za unos u SAP'!H287+'Plan za unos u SAP'!H367+'Plan za unos u SAP'!H438+'Plan za unos u SAP'!H507+'Plan za unos u SAP'!H625+'Plan za unos u SAP'!H694+'Plan za unos u SAP'!H770+'Plan za unos u SAP'!H845+'Plan za unos u SAP'!H914</f>
        <v>0</v>
      </c>
      <c r="S50" s="86" t="e">
        <f t="shared" si="6"/>
        <v>#DIV/0!</v>
      </c>
      <c r="U50" s="81"/>
    </row>
    <row r="51" spans="1:21">
      <c r="A51" s="54">
        <v>44</v>
      </c>
      <c r="B51" s="55" t="s">
        <v>661</v>
      </c>
      <c r="C51" s="67">
        <f t="shared" si="23"/>
        <v>0</v>
      </c>
      <c r="D51" s="57">
        <f t="shared" ref="D51:R51" si="32">SUM(D52)</f>
        <v>0</v>
      </c>
      <c r="E51" s="57">
        <f t="shared" si="32"/>
        <v>0</v>
      </c>
      <c r="F51" s="57">
        <f t="shared" si="32"/>
        <v>0</v>
      </c>
      <c r="G51" s="57">
        <f t="shared" si="32"/>
        <v>0</v>
      </c>
      <c r="H51" s="57">
        <f t="shared" si="32"/>
        <v>0</v>
      </c>
      <c r="I51" s="57">
        <f t="shared" si="32"/>
        <v>0</v>
      </c>
      <c r="J51" s="57">
        <f t="shared" si="32"/>
        <v>0</v>
      </c>
      <c r="K51" s="57">
        <f t="shared" si="32"/>
        <v>0</v>
      </c>
      <c r="L51" s="57">
        <f t="shared" si="32"/>
        <v>0</v>
      </c>
      <c r="M51" s="57">
        <f t="shared" si="32"/>
        <v>0</v>
      </c>
      <c r="N51" s="57">
        <f t="shared" si="32"/>
        <v>0</v>
      </c>
      <c r="O51" s="57">
        <f t="shared" si="32"/>
        <v>0</v>
      </c>
      <c r="P51" s="57">
        <f t="shared" si="32"/>
        <v>0</v>
      </c>
      <c r="Q51" s="57">
        <f t="shared" si="32"/>
        <v>0</v>
      </c>
      <c r="R51" s="57">
        <f t="shared" si="32"/>
        <v>0</v>
      </c>
      <c r="S51" s="85" t="e">
        <f t="shared" si="6"/>
        <v>#DIV/0!</v>
      </c>
      <c r="U51" s="81"/>
    </row>
    <row r="52" spans="1:21">
      <c r="A52" s="64">
        <v>441</v>
      </c>
      <c r="B52" s="68" t="s">
        <v>662</v>
      </c>
      <c r="C52" s="63">
        <f t="shared" si="23"/>
        <v>0</v>
      </c>
      <c r="D52" s="60">
        <v>0</v>
      </c>
      <c r="E52" s="60">
        <v>0</v>
      </c>
      <c r="F52" s="60">
        <v>0</v>
      </c>
      <c r="G52" s="60">
        <v>0</v>
      </c>
      <c r="H52" s="60">
        <v>0</v>
      </c>
      <c r="I52" s="60">
        <v>0</v>
      </c>
      <c r="J52" s="60">
        <v>0</v>
      </c>
      <c r="K52" s="60">
        <v>0</v>
      </c>
      <c r="L52" s="60">
        <v>0</v>
      </c>
      <c r="M52" s="60">
        <v>0</v>
      </c>
      <c r="N52" s="60">
        <v>0</v>
      </c>
      <c r="O52" s="60">
        <v>0</v>
      </c>
      <c r="P52" s="60">
        <v>0</v>
      </c>
      <c r="Q52" s="82">
        <v>0</v>
      </c>
      <c r="R52" s="82">
        <v>0</v>
      </c>
      <c r="S52" s="86" t="e">
        <f t="shared" si="6"/>
        <v>#DIV/0!</v>
      </c>
      <c r="U52" s="81"/>
    </row>
    <row r="53" spans="1:21">
      <c r="A53" s="65">
        <v>45</v>
      </c>
      <c r="B53" s="66" t="s">
        <v>663</v>
      </c>
      <c r="C53" s="67">
        <f t="shared" si="23"/>
        <v>227625</v>
      </c>
      <c r="D53" s="67">
        <f t="shared" ref="D53:R53" si="33">SUM(D54:D57)</f>
        <v>0</v>
      </c>
      <c r="E53" s="67">
        <f t="shared" si="33"/>
        <v>0</v>
      </c>
      <c r="F53" s="67">
        <f t="shared" si="33"/>
        <v>27625</v>
      </c>
      <c r="G53" s="67">
        <f t="shared" si="33"/>
        <v>200000</v>
      </c>
      <c r="H53" s="67">
        <f t="shared" si="33"/>
        <v>0</v>
      </c>
      <c r="I53" s="67">
        <f t="shared" si="33"/>
        <v>0</v>
      </c>
      <c r="J53" s="67">
        <f t="shared" ref="J53" si="34">SUM(J54:J57)</f>
        <v>0</v>
      </c>
      <c r="K53" s="67">
        <f t="shared" si="33"/>
        <v>0</v>
      </c>
      <c r="L53" s="67">
        <f t="shared" si="33"/>
        <v>0</v>
      </c>
      <c r="M53" s="67">
        <f t="shared" si="33"/>
        <v>0</v>
      </c>
      <c r="N53" s="67">
        <f t="shared" si="33"/>
        <v>0</v>
      </c>
      <c r="O53" s="67">
        <f t="shared" si="33"/>
        <v>0</v>
      </c>
      <c r="P53" s="67">
        <f t="shared" si="33"/>
        <v>0</v>
      </c>
      <c r="Q53" s="67">
        <f t="shared" si="33"/>
        <v>0</v>
      </c>
      <c r="R53" s="67">
        <f t="shared" si="33"/>
        <v>227625</v>
      </c>
      <c r="S53" s="85" t="e">
        <f t="shared" si="6"/>
        <v>#DIV/0!</v>
      </c>
      <c r="U53" s="81"/>
    </row>
    <row r="54" spans="1:21">
      <c r="A54" s="61">
        <v>451</v>
      </c>
      <c r="B54" s="62" t="s">
        <v>91</v>
      </c>
      <c r="C54" s="63">
        <f t="shared" si="23"/>
        <v>227625</v>
      </c>
      <c r="D54" s="60">
        <f>'Plan za unos u SAP'!I80</f>
        <v>0</v>
      </c>
      <c r="E54" s="60">
        <f>'Plan za unos u SAP'!I626+'Plan za unos u SAP'!I695</f>
        <v>0</v>
      </c>
      <c r="F54" s="60">
        <f>'Plan za unos u SAP'!I151</f>
        <v>27625</v>
      </c>
      <c r="G54" s="60">
        <f>'Plan za unos u SAP'!I219+'Plan za unos u SAP'!I288</f>
        <v>200000</v>
      </c>
      <c r="H54" s="60">
        <f>'Plan za unos u SAP'!I368</f>
        <v>0</v>
      </c>
      <c r="I54" s="60">
        <f>'Plan za unos u SAP'!I439+'Plan za unos u SAP'!I508</f>
        <v>0</v>
      </c>
      <c r="J54" s="60">
        <v>0</v>
      </c>
      <c r="K54" s="60">
        <f>'Plan za unos u SAP'!I771</f>
        <v>0</v>
      </c>
      <c r="L54" s="60">
        <f>'Plan za unos u SAP'!I846+'Plan za unos u SAP'!I915</f>
        <v>0</v>
      </c>
      <c r="M54" s="60">
        <v>0</v>
      </c>
      <c r="N54" s="60">
        <v>0</v>
      </c>
      <c r="O54" s="60">
        <f>'Plan za unos u SAP'!I558</f>
        <v>0</v>
      </c>
      <c r="P54" s="60">
        <v>0</v>
      </c>
      <c r="Q54" s="82">
        <f>'Plan za unos u SAP'!G80+'Plan za unos u SAP'!G151+'Plan za unos u SAP'!G219+'Plan za unos u SAP'!G288+'Plan za unos u SAP'!G368+'Plan za unos u SAP'!G439+'Plan za unos u SAP'!G508+'Plan za unos u SAP'!G558+'Plan za unos u SAP'!G626+'Plan za unos u SAP'!G695+'Plan za unos u SAP'!G771+'Plan za unos u SAP'!G846+'Plan za unos u SAP'!G915</f>
        <v>0</v>
      </c>
      <c r="R54" s="82">
        <f>'Plan za unos u SAP'!H80+'Plan za unos u SAP'!H151+'Plan za unos u SAP'!H219+'Plan za unos u SAP'!H288+'Plan za unos u SAP'!H368+'Plan za unos u SAP'!H439+'Plan za unos u SAP'!H508+'Plan za unos u SAP'!H558+'Plan za unos u SAP'!H626+'Plan za unos u SAP'!H695+'Plan za unos u SAP'!H771+'Plan za unos u SAP'!H846+'Plan za unos u SAP'!H915</f>
        <v>227625</v>
      </c>
      <c r="S54" s="86" t="e">
        <f t="shared" si="6"/>
        <v>#DIV/0!</v>
      </c>
      <c r="U54" s="81"/>
    </row>
    <row r="55" spans="1:21">
      <c r="A55" s="61">
        <v>452</v>
      </c>
      <c r="B55" s="62" t="s">
        <v>95</v>
      </c>
      <c r="C55" s="63">
        <f t="shared" si="23"/>
        <v>0</v>
      </c>
      <c r="D55" s="60">
        <f>'Plan za unos u SAP'!I81</f>
        <v>0</v>
      </c>
      <c r="E55" s="60">
        <f>'Plan za unos u SAP'!I627+'Plan za unos u SAP'!I696</f>
        <v>0</v>
      </c>
      <c r="F55" s="60">
        <f>'Plan za unos u SAP'!I152</f>
        <v>0</v>
      </c>
      <c r="G55" s="60">
        <f>'Plan za unos u SAP'!I220+'Plan za unos u SAP'!I289</f>
        <v>0</v>
      </c>
      <c r="H55" s="60">
        <f>'Plan za unos u SAP'!I369</f>
        <v>0</v>
      </c>
      <c r="I55" s="60">
        <f>'Plan za unos u SAP'!I440+'Plan za unos u SAP'!I509</f>
        <v>0</v>
      </c>
      <c r="J55" s="60">
        <v>0</v>
      </c>
      <c r="K55" s="60">
        <f>'Plan za unos u SAP'!I772</f>
        <v>0</v>
      </c>
      <c r="L55" s="60">
        <f>'Plan za unos u SAP'!I847+'Plan za unos u SAP'!I916</f>
        <v>0</v>
      </c>
      <c r="M55" s="60">
        <v>0</v>
      </c>
      <c r="N55" s="60">
        <v>0</v>
      </c>
      <c r="O55" s="60">
        <v>0</v>
      </c>
      <c r="P55" s="60">
        <v>0</v>
      </c>
      <c r="Q55" s="82">
        <f>'Plan za unos u SAP'!G81+'Plan za unos u SAP'!G152+'Plan za unos u SAP'!G220+'Plan za unos u SAP'!G289+'Plan za unos u SAP'!G369+'Plan za unos u SAP'!G440+'Plan za unos u SAP'!G509+'Plan za unos u SAP'!G627+'Plan za unos u SAP'!G696+'Plan za unos u SAP'!G772+'Plan za unos u SAP'!G847+'Plan za unos u SAP'!G916</f>
        <v>0</v>
      </c>
      <c r="R55" s="82">
        <f>'Plan za unos u SAP'!H81+'Plan za unos u SAP'!H152+'Plan za unos u SAP'!H220+'Plan za unos u SAP'!H289+'Plan za unos u SAP'!H369+'Plan za unos u SAP'!H440+'Plan za unos u SAP'!H509+'Plan za unos u SAP'!H627+'Plan za unos u SAP'!H696+'Plan za unos u SAP'!H772+'Plan za unos u SAP'!H847+'Plan za unos u SAP'!H916</f>
        <v>0</v>
      </c>
      <c r="S55" s="86" t="e">
        <f t="shared" si="6"/>
        <v>#DIV/0!</v>
      </c>
      <c r="U55" s="81"/>
    </row>
    <row r="56" spans="1:21">
      <c r="A56" s="64">
        <v>453</v>
      </c>
      <c r="B56" s="62" t="s">
        <v>664</v>
      </c>
      <c r="C56" s="63">
        <f t="shared" si="23"/>
        <v>0</v>
      </c>
      <c r="D56" s="60">
        <v>0</v>
      </c>
      <c r="E56" s="60">
        <v>0</v>
      </c>
      <c r="F56" s="60">
        <v>0</v>
      </c>
      <c r="G56" s="60">
        <v>0</v>
      </c>
      <c r="H56" s="60">
        <v>0</v>
      </c>
      <c r="I56" s="60">
        <v>0</v>
      </c>
      <c r="J56" s="60">
        <v>0</v>
      </c>
      <c r="K56" s="60">
        <v>0</v>
      </c>
      <c r="L56" s="60">
        <v>0</v>
      </c>
      <c r="M56" s="60">
        <v>0</v>
      </c>
      <c r="N56" s="60">
        <v>0</v>
      </c>
      <c r="O56" s="60">
        <v>0</v>
      </c>
      <c r="P56" s="60">
        <v>0</v>
      </c>
      <c r="Q56" s="82">
        <v>0</v>
      </c>
      <c r="R56" s="82">
        <v>0</v>
      </c>
      <c r="S56" s="86" t="e">
        <f t="shared" si="6"/>
        <v>#DIV/0!</v>
      </c>
      <c r="U56" s="81"/>
    </row>
    <row r="57" spans="1:21">
      <c r="A57" s="64">
        <v>454</v>
      </c>
      <c r="B57" s="68" t="s">
        <v>665</v>
      </c>
      <c r="C57" s="63">
        <f t="shared" si="23"/>
        <v>0</v>
      </c>
      <c r="D57" s="60">
        <v>0</v>
      </c>
      <c r="E57" s="60">
        <v>0</v>
      </c>
      <c r="F57" s="60">
        <v>0</v>
      </c>
      <c r="G57" s="60">
        <v>0</v>
      </c>
      <c r="H57" s="60">
        <v>0</v>
      </c>
      <c r="I57" s="60">
        <v>0</v>
      </c>
      <c r="J57" s="60">
        <v>0</v>
      </c>
      <c r="K57" s="60">
        <v>0</v>
      </c>
      <c r="L57" s="60">
        <v>0</v>
      </c>
      <c r="M57" s="60">
        <v>0</v>
      </c>
      <c r="N57" s="60">
        <v>0</v>
      </c>
      <c r="O57" s="60">
        <v>0</v>
      </c>
      <c r="P57" s="60">
        <v>0</v>
      </c>
      <c r="Q57" s="82">
        <v>0</v>
      </c>
      <c r="R57" s="82">
        <v>0</v>
      </c>
      <c r="S57" s="86" t="e">
        <f t="shared" si="6"/>
        <v>#DIV/0!</v>
      </c>
      <c r="U57" s="81"/>
    </row>
    <row r="58" spans="1:21">
      <c r="A58" s="50">
        <v>5</v>
      </c>
      <c r="B58" s="51" t="s">
        <v>12</v>
      </c>
      <c r="C58" s="74">
        <f t="shared" si="23"/>
        <v>0</v>
      </c>
      <c r="D58" s="53">
        <f t="shared" ref="D58:P58" si="35">+D59+D63</f>
        <v>0</v>
      </c>
      <c r="E58" s="53">
        <f t="shared" si="35"/>
        <v>0</v>
      </c>
      <c r="F58" s="53">
        <f t="shared" si="35"/>
        <v>0</v>
      </c>
      <c r="G58" s="53">
        <f t="shared" si="35"/>
        <v>0</v>
      </c>
      <c r="H58" s="53">
        <f t="shared" si="35"/>
        <v>0</v>
      </c>
      <c r="I58" s="53">
        <f t="shared" si="35"/>
        <v>0</v>
      </c>
      <c r="J58" s="53">
        <f t="shared" ref="J58" si="36">+J59+J63</f>
        <v>0</v>
      </c>
      <c r="K58" s="53">
        <f t="shared" si="35"/>
        <v>0</v>
      </c>
      <c r="L58" s="53">
        <f t="shared" si="35"/>
        <v>0</v>
      </c>
      <c r="M58" s="53">
        <f t="shared" si="35"/>
        <v>0</v>
      </c>
      <c r="N58" s="53">
        <f t="shared" si="35"/>
        <v>0</v>
      </c>
      <c r="O58" s="53">
        <f t="shared" si="35"/>
        <v>0</v>
      </c>
      <c r="P58" s="53">
        <f t="shared" si="35"/>
        <v>0</v>
      </c>
      <c r="Q58" s="53">
        <f t="shared" ref="Q58" si="37">+Q59+Q63</f>
        <v>0</v>
      </c>
      <c r="R58" s="53">
        <f t="shared" ref="R58" si="38">+R59+R63</f>
        <v>0</v>
      </c>
      <c r="S58" s="84" t="e">
        <f t="shared" si="6"/>
        <v>#DIV/0!</v>
      </c>
      <c r="U58" s="81"/>
    </row>
    <row r="59" spans="1:21">
      <c r="A59" s="54">
        <v>51</v>
      </c>
      <c r="B59" s="55" t="s">
        <v>666</v>
      </c>
      <c r="C59" s="56">
        <f t="shared" si="23"/>
        <v>0</v>
      </c>
      <c r="D59" s="57">
        <f>+D60</f>
        <v>0</v>
      </c>
      <c r="E59" s="57">
        <f t="shared" ref="E59:G59" si="39">+E60</f>
        <v>0</v>
      </c>
      <c r="F59" s="57">
        <f t="shared" si="39"/>
        <v>0</v>
      </c>
      <c r="G59" s="57">
        <f t="shared" si="39"/>
        <v>0</v>
      </c>
      <c r="H59" s="57">
        <f>SUM(H60:H62)</f>
        <v>0</v>
      </c>
      <c r="I59" s="57">
        <f t="shared" ref="I59:P59" si="40">SUM(I60:I62)</f>
        <v>0</v>
      </c>
      <c r="J59" s="57">
        <f t="shared" ref="J59" si="41">SUM(J60:J62)</f>
        <v>0</v>
      </c>
      <c r="K59" s="57">
        <f t="shared" si="40"/>
        <v>0</v>
      </c>
      <c r="L59" s="57">
        <f t="shared" si="40"/>
        <v>0</v>
      </c>
      <c r="M59" s="57">
        <f t="shared" si="40"/>
        <v>0</v>
      </c>
      <c r="N59" s="57">
        <f t="shared" si="40"/>
        <v>0</v>
      </c>
      <c r="O59" s="57">
        <f t="shared" si="40"/>
        <v>0</v>
      </c>
      <c r="P59" s="57">
        <f t="shared" si="40"/>
        <v>0</v>
      </c>
      <c r="Q59" s="57">
        <f t="shared" ref="Q59" si="42">SUM(Q60:Q62)</f>
        <v>0</v>
      </c>
      <c r="R59" s="57">
        <f t="shared" ref="R59" si="43">SUM(R60:R62)</f>
        <v>0</v>
      </c>
      <c r="S59" s="85" t="e">
        <f t="shared" si="6"/>
        <v>#DIV/0!</v>
      </c>
      <c r="U59" s="81"/>
    </row>
    <row r="60" spans="1:21">
      <c r="A60" s="75">
        <v>512</v>
      </c>
      <c r="B60" s="58" t="s">
        <v>667</v>
      </c>
      <c r="C60" s="56">
        <f t="shared" si="23"/>
        <v>0</v>
      </c>
      <c r="D60" s="60">
        <v>0</v>
      </c>
      <c r="E60" s="60">
        <v>0</v>
      </c>
      <c r="F60" s="60">
        <v>0</v>
      </c>
      <c r="G60" s="60">
        <v>0</v>
      </c>
      <c r="H60" s="60">
        <v>0</v>
      </c>
      <c r="I60" s="60">
        <v>0</v>
      </c>
      <c r="J60" s="60">
        <v>0</v>
      </c>
      <c r="K60" s="60">
        <v>0</v>
      </c>
      <c r="L60" s="60">
        <v>0</v>
      </c>
      <c r="M60" s="60">
        <v>0</v>
      </c>
      <c r="N60" s="60">
        <v>0</v>
      </c>
      <c r="O60" s="60">
        <v>0</v>
      </c>
      <c r="P60" s="60">
        <v>0</v>
      </c>
      <c r="Q60" s="82">
        <v>0</v>
      </c>
      <c r="R60" s="82">
        <v>0</v>
      </c>
      <c r="S60" s="86" t="e">
        <f t="shared" si="6"/>
        <v>#DIV/0!</v>
      </c>
      <c r="U60" s="81"/>
    </row>
    <row r="61" spans="1:21">
      <c r="A61" s="75">
        <v>514</v>
      </c>
      <c r="B61" s="58" t="s">
        <v>668</v>
      </c>
      <c r="C61" s="56">
        <f t="shared" si="23"/>
        <v>0</v>
      </c>
      <c r="D61" s="60">
        <v>0</v>
      </c>
      <c r="E61" s="60">
        <v>0</v>
      </c>
      <c r="F61" s="60">
        <v>0</v>
      </c>
      <c r="G61" s="60">
        <v>0</v>
      </c>
      <c r="H61" s="60">
        <v>0</v>
      </c>
      <c r="I61" s="60">
        <v>0</v>
      </c>
      <c r="J61" s="60">
        <v>0</v>
      </c>
      <c r="K61" s="60">
        <v>0</v>
      </c>
      <c r="L61" s="60">
        <v>0</v>
      </c>
      <c r="M61" s="60">
        <v>0</v>
      </c>
      <c r="N61" s="60">
        <v>0</v>
      </c>
      <c r="O61" s="60">
        <v>0</v>
      </c>
      <c r="P61" s="60">
        <v>0</v>
      </c>
      <c r="Q61" s="82">
        <v>0</v>
      </c>
      <c r="R61" s="82">
        <v>0</v>
      </c>
      <c r="S61" s="86" t="e">
        <f t="shared" si="6"/>
        <v>#DIV/0!</v>
      </c>
      <c r="U61" s="81"/>
    </row>
    <row r="62" spans="1:21">
      <c r="A62" s="75">
        <v>518</v>
      </c>
      <c r="B62" s="58" t="s">
        <v>669</v>
      </c>
      <c r="C62" s="56">
        <f t="shared" si="23"/>
        <v>0</v>
      </c>
      <c r="D62" s="60">
        <v>0</v>
      </c>
      <c r="E62" s="60">
        <v>0</v>
      </c>
      <c r="F62" s="60">
        <v>0</v>
      </c>
      <c r="G62" s="60">
        <v>0</v>
      </c>
      <c r="H62" s="60">
        <v>0</v>
      </c>
      <c r="I62" s="60">
        <v>0</v>
      </c>
      <c r="J62" s="60">
        <v>0</v>
      </c>
      <c r="K62" s="60">
        <v>0</v>
      </c>
      <c r="L62" s="60">
        <v>0</v>
      </c>
      <c r="M62" s="60">
        <v>0</v>
      </c>
      <c r="N62" s="60">
        <v>0</v>
      </c>
      <c r="O62" s="60">
        <v>0</v>
      </c>
      <c r="P62" s="60">
        <v>0</v>
      </c>
      <c r="Q62" s="82">
        <v>0</v>
      </c>
      <c r="R62" s="82">
        <v>0</v>
      </c>
      <c r="S62" s="86" t="e">
        <f t="shared" si="6"/>
        <v>#DIV/0!</v>
      </c>
      <c r="U62" s="81"/>
    </row>
    <row r="63" spans="1:21">
      <c r="A63" s="54">
        <v>54</v>
      </c>
      <c r="B63" s="55" t="s">
        <v>670</v>
      </c>
      <c r="C63" s="56">
        <f t="shared" si="23"/>
        <v>0</v>
      </c>
      <c r="D63" s="57">
        <f>SUM(D64:D68)</f>
        <v>0</v>
      </c>
      <c r="E63" s="57">
        <f t="shared" ref="E63:R63" si="44">SUM(E64:E68)</f>
        <v>0</v>
      </c>
      <c r="F63" s="57">
        <f t="shared" si="44"/>
        <v>0</v>
      </c>
      <c r="G63" s="57">
        <f t="shared" si="44"/>
        <v>0</v>
      </c>
      <c r="H63" s="57">
        <f>SUM(H64:H68)</f>
        <v>0</v>
      </c>
      <c r="I63" s="57">
        <f t="shared" si="44"/>
        <v>0</v>
      </c>
      <c r="J63" s="57">
        <f t="shared" ref="J63" si="45">SUM(J64:J68)</f>
        <v>0</v>
      </c>
      <c r="K63" s="57">
        <f t="shared" si="44"/>
        <v>0</v>
      </c>
      <c r="L63" s="57">
        <f t="shared" si="44"/>
        <v>0</v>
      </c>
      <c r="M63" s="57">
        <f t="shared" si="44"/>
        <v>0</v>
      </c>
      <c r="N63" s="57">
        <f t="shared" si="44"/>
        <v>0</v>
      </c>
      <c r="O63" s="57">
        <f t="shared" si="44"/>
        <v>0</v>
      </c>
      <c r="P63" s="57">
        <f t="shared" si="44"/>
        <v>0</v>
      </c>
      <c r="Q63" s="57">
        <f t="shared" si="44"/>
        <v>0</v>
      </c>
      <c r="R63" s="57">
        <f t="shared" si="44"/>
        <v>0</v>
      </c>
      <c r="S63" s="85" t="e">
        <f t="shared" si="6"/>
        <v>#DIV/0!</v>
      </c>
      <c r="U63" s="81"/>
    </row>
    <row r="64" spans="1:21">
      <c r="A64" s="64">
        <v>542</v>
      </c>
      <c r="B64" s="62" t="s">
        <v>671</v>
      </c>
      <c r="C64" s="56">
        <f t="shared" si="23"/>
        <v>0</v>
      </c>
      <c r="D64" s="60">
        <v>0</v>
      </c>
      <c r="E64" s="60">
        <v>0</v>
      </c>
      <c r="F64" s="60">
        <v>0</v>
      </c>
      <c r="G64" s="60">
        <v>0</v>
      </c>
      <c r="H64" s="60">
        <v>0</v>
      </c>
      <c r="I64" s="60">
        <v>0</v>
      </c>
      <c r="J64" s="60">
        <v>0</v>
      </c>
      <c r="K64" s="60">
        <v>0</v>
      </c>
      <c r="L64" s="60">
        <v>0</v>
      </c>
      <c r="M64" s="60">
        <v>0</v>
      </c>
      <c r="N64" s="60">
        <v>0</v>
      </c>
      <c r="O64" s="60">
        <v>0</v>
      </c>
      <c r="P64" s="60">
        <v>0</v>
      </c>
      <c r="Q64" s="82">
        <v>0</v>
      </c>
      <c r="R64" s="82">
        <v>0</v>
      </c>
      <c r="S64" s="86" t="e">
        <f t="shared" si="6"/>
        <v>#DIV/0!</v>
      </c>
      <c r="U64" s="81"/>
    </row>
    <row r="65" spans="1:21">
      <c r="A65" s="64">
        <v>543</v>
      </c>
      <c r="B65" s="62" t="s">
        <v>672</v>
      </c>
      <c r="C65" s="56">
        <f t="shared" si="23"/>
        <v>0</v>
      </c>
      <c r="D65" s="60">
        <v>0</v>
      </c>
      <c r="E65" s="60">
        <v>0</v>
      </c>
      <c r="F65" s="60">
        <v>0</v>
      </c>
      <c r="G65" s="60">
        <v>0</v>
      </c>
      <c r="H65" s="60">
        <v>0</v>
      </c>
      <c r="I65" s="60">
        <v>0</v>
      </c>
      <c r="J65" s="60">
        <v>0</v>
      </c>
      <c r="K65" s="60">
        <v>0</v>
      </c>
      <c r="L65" s="60">
        <v>0</v>
      </c>
      <c r="M65" s="60">
        <v>0</v>
      </c>
      <c r="N65" s="60">
        <v>0</v>
      </c>
      <c r="O65" s="60">
        <v>0</v>
      </c>
      <c r="P65" s="60">
        <v>0</v>
      </c>
      <c r="Q65" s="82">
        <v>0</v>
      </c>
      <c r="R65" s="82">
        <v>0</v>
      </c>
      <c r="S65" s="86" t="e">
        <f t="shared" si="6"/>
        <v>#DIV/0!</v>
      </c>
      <c r="U65" s="81"/>
    </row>
    <row r="66" spans="1:21">
      <c r="A66" s="64">
        <v>544</v>
      </c>
      <c r="B66" s="62" t="s">
        <v>673</v>
      </c>
      <c r="C66" s="56">
        <f t="shared" si="23"/>
        <v>0</v>
      </c>
      <c r="D66" s="60">
        <v>0</v>
      </c>
      <c r="E66" s="60">
        <v>0</v>
      </c>
      <c r="F66" s="60">
        <v>0</v>
      </c>
      <c r="G66" s="60">
        <v>0</v>
      </c>
      <c r="H66" s="60">
        <v>0</v>
      </c>
      <c r="I66" s="60">
        <v>0</v>
      </c>
      <c r="J66" s="60">
        <v>0</v>
      </c>
      <c r="K66" s="60">
        <v>0</v>
      </c>
      <c r="L66" s="60">
        <v>0</v>
      </c>
      <c r="M66" s="60">
        <v>0</v>
      </c>
      <c r="N66" s="60">
        <v>0</v>
      </c>
      <c r="O66" s="60">
        <v>0</v>
      </c>
      <c r="P66" s="60">
        <v>0</v>
      </c>
      <c r="Q66" s="82">
        <v>0</v>
      </c>
      <c r="R66" s="82">
        <v>0</v>
      </c>
      <c r="S66" s="86" t="e">
        <f t="shared" si="6"/>
        <v>#DIV/0!</v>
      </c>
      <c r="U66" s="81"/>
    </row>
    <row r="67" spans="1:21">
      <c r="A67" s="64">
        <v>545</v>
      </c>
      <c r="B67" s="62" t="s">
        <v>674</v>
      </c>
      <c r="C67" s="56">
        <f t="shared" si="23"/>
        <v>0</v>
      </c>
      <c r="D67" s="60">
        <v>0</v>
      </c>
      <c r="E67" s="60">
        <v>0</v>
      </c>
      <c r="F67" s="60">
        <v>0</v>
      </c>
      <c r="G67" s="60">
        <v>0</v>
      </c>
      <c r="H67" s="60">
        <v>0</v>
      </c>
      <c r="I67" s="60">
        <v>0</v>
      </c>
      <c r="J67" s="60">
        <v>0</v>
      </c>
      <c r="K67" s="60">
        <v>0</v>
      </c>
      <c r="L67" s="60">
        <v>0</v>
      </c>
      <c r="M67" s="60">
        <v>0</v>
      </c>
      <c r="N67" s="60">
        <v>0</v>
      </c>
      <c r="O67" s="60">
        <v>0</v>
      </c>
      <c r="P67" s="60">
        <v>0</v>
      </c>
      <c r="Q67" s="82">
        <v>0</v>
      </c>
      <c r="R67" s="82">
        <v>0</v>
      </c>
      <c r="S67" s="86" t="e">
        <f t="shared" si="6"/>
        <v>#DIV/0!</v>
      </c>
      <c r="U67" s="81"/>
    </row>
    <row r="68" spans="1:21">
      <c r="A68" s="64">
        <v>547</v>
      </c>
      <c r="B68" s="62" t="s">
        <v>675</v>
      </c>
      <c r="C68" s="56">
        <f t="shared" ref="C68" si="46">ROUND(SUM(D68:P68),0)</f>
        <v>0</v>
      </c>
      <c r="D68" s="60">
        <v>0</v>
      </c>
      <c r="E68" s="60">
        <v>0</v>
      </c>
      <c r="F68" s="60">
        <v>0</v>
      </c>
      <c r="G68" s="60">
        <v>0</v>
      </c>
      <c r="H68" s="60">
        <v>0</v>
      </c>
      <c r="I68" s="60">
        <v>0</v>
      </c>
      <c r="J68" s="60">
        <v>0</v>
      </c>
      <c r="K68" s="60">
        <v>0</v>
      </c>
      <c r="L68" s="60">
        <v>0</v>
      </c>
      <c r="M68" s="60">
        <v>0</v>
      </c>
      <c r="N68" s="60">
        <v>0</v>
      </c>
      <c r="O68" s="60">
        <v>0</v>
      </c>
      <c r="P68" s="60">
        <v>0</v>
      </c>
      <c r="Q68" s="82">
        <v>0</v>
      </c>
      <c r="R68" s="82">
        <v>0</v>
      </c>
      <c r="S68" s="86" t="e">
        <f t="shared" ref="S68" si="47">C68/Q68*100</f>
        <v>#DIV/0!</v>
      </c>
      <c r="U68" s="81"/>
    </row>
    <row r="69" spans="1:21">
      <c r="A69" s="3"/>
      <c r="B69" s="4"/>
      <c r="C69" s="4"/>
      <c r="D69" s="4"/>
      <c r="E69" s="2"/>
      <c r="F69" s="2"/>
      <c r="G69" s="2"/>
      <c r="H69" s="2"/>
      <c r="I69" s="2"/>
      <c r="J69" s="2"/>
      <c r="K69" s="2"/>
      <c r="U69" s="81"/>
    </row>
    <row r="70" spans="1:21" ht="15.75">
      <c r="A70" s="939" t="s">
        <v>788</v>
      </c>
      <c r="B70" s="939"/>
      <c r="C70" s="939"/>
      <c r="D70" s="939"/>
      <c r="E70" s="939"/>
      <c r="F70" s="939"/>
      <c r="G70" s="939"/>
      <c r="H70" s="939"/>
      <c r="I70" s="939"/>
      <c r="J70" s="2"/>
      <c r="K70" s="2"/>
      <c r="U70" s="81"/>
    </row>
    <row r="71" spans="1:21">
      <c r="A71" s="3"/>
      <c r="B71" s="4"/>
      <c r="C71" s="4"/>
      <c r="D71" s="4"/>
      <c r="E71" s="2"/>
      <c r="F71" s="2"/>
      <c r="G71" s="2"/>
      <c r="H71" s="2"/>
      <c r="I71" s="2"/>
      <c r="J71" s="2"/>
      <c r="K71" s="2"/>
    </row>
    <row r="72" spans="1:21">
      <c r="A72" s="3"/>
      <c r="B72" s="4"/>
      <c r="C72" s="4"/>
      <c r="D72" s="4"/>
      <c r="E72" s="2"/>
      <c r="F72" s="2"/>
      <c r="G72" s="2"/>
      <c r="H72" s="2"/>
      <c r="I72" s="2"/>
      <c r="J72" s="2"/>
      <c r="K72" s="2"/>
    </row>
    <row r="73" spans="1:21">
      <c r="A73" s="3"/>
      <c r="B73" s="4"/>
      <c r="C73" s="4"/>
      <c r="D73" s="4"/>
      <c r="E73" s="2"/>
      <c r="F73" s="2"/>
      <c r="G73" s="2"/>
      <c r="H73" s="2"/>
      <c r="I73" s="2"/>
      <c r="J73" s="2"/>
      <c r="K73" s="2"/>
    </row>
    <row r="74" spans="1:21">
      <c r="A74" s="3"/>
      <c r="B74" s="4"/>
      <c r="C74" s="4"/>
      <c r="D74" s="4"/>
      <c r="E74" s="2"/>
      <c r="F74" s="2"/>
      <c r="G74" s="2"/>
      <c r="H74" s="2"/>
      <c r="I74" s="2"/>
      <c r="J74" s="2"/>
      <c r="K74" s="2"/>
    </row>
    <row r="75" spans="1:21">
      <c r="A75" s="3"/>
      <c r="B75" s="4"/>
      <c r="C75" s="4"/>
      <c r="D75" s="4"/>
      <c r="E75" s="2"/>
      <c r="F75" s="2"/>
      <c r="G75" s="2"/>
      <c r="H75" s="2"/>
      <c r="I75" s="2"/>
      <c r="J75" s="2"/>
      <c r="K75" s="2"/>
    </row>
    <row r="76" spans="1:21">
      <c r="A76" s="3"/>
      <c r="B76" s="4"/>
      <c r="C76" s="4"/>
      <c r="D76" s="4"/>
      <c r="E76" s="2"/>
      <c r="F76" s="2"/>
      <c r="G76" s="2"/>
      <c r="H76" s="2"/>
      <c r="I76" s="2"/>
      <c r="J76" s="2"/>
      <c r="K76" s="2"/>
    </row>
    <row r="77" spans="1:21">
      <c r="A77" s="3"/>
      <c r="B77" s="4"/>
      <c r="C77" s="4"/>
      <c r="D77" s="4"/>
      <c r="E77" s="2"/>
      <c r="F77" s="2"/>
      <c r="G77" s="2"/>
      <c r="H77" s="2"/>
      <c r="I77" s="2"/>
      <c r="J77" s="2"/>
      <c r="K77" s="2"/>
    </row>
    <row r="78" spans="1:21">
      <c r="A78" s="3"/>
      <c r="B78" s="4"/>
      <c r="C78" s="4"/>
      <c r="D78" s="4"/>
      <c r="E78" s="2"/>
      <c r="F78" s="2"/>
      <c r="G78" s="2"/>
      <c r="H78" s="2"/>
      <c r="I78" s="2"/>
      <c r="J78" s="2"/>
      <c r="K78" s="2"/>
    </row>
    <row r="79" spans="1:21">
      <c r="A79" s="3"/>
      <c r="B79" s="4"/>
      <c r="C79" s="4"/>
      <c r="D79" s="4"/>
      <c r="E79" s="2"/>
      <c r="F79" s="2"/>
      <c r="G79" s="2"/>
      <c r="H79" s="2"/>
      <c r="I79" s="2"/>
      <c r="J79" s="2"/>
      <c r="K79" s="2"/>
    </row>
    <row r="80" spans="1:21">
      <c r="A80" s="3"/>
      <c r="B80" s="4"/>
      <c r="C80" s="4"/>
      <c r="D80" s="4"/>
      <c r="E80" s="2"/>
      <c r="F80" s="2"/>
      <c r="G80" s="2"/>
      <c r="H80" s="2"/>
      <c r="I80" s="2"/>
      <c r="J80" s="2"/>
      <c r="K80" s="2"/>
    </row>
    <row r="81" spans="1:11">
      <c r="A81" s="3"/>
      <c r="B81" s="4"/>
      <c r="C81" s="4"/>
      <c r="D81" s="4"/>
      <c r="E81" s="2"/>
      <c r="F81" s="2"/>
      <c r="G81" s="2"/>
      <c r="H81" s="2"/>
      <c r="I81" s="2"/>
      <c r="J81" s="2"/>
      <c r="K81" s="2"/>
    </row>
    <row r="82" spans="1:11">
      <c r="A82" s="3"/>
      <c r="B82" s="4"/>
      <c r="C82" s="4"/>
      <c r="D82" s="4"/>
      <c r="E82" s="2"/>
      <c r="F82" s="2"/>
      <c r="G82" s="2"/>
      <c r="H82" s="2"/>
      <c r="I82" s="2"/>
      <c r="J82" s="2"/>
      <c r="K82" s="2"/>
    </row>
    <row r="83" spans="1:11">
      <c r="A83" s="3"/>
      <c r="B83" s="4"/>
      <c r="C83" s="4"/>
      <c r="D83" s="4"/>
      <c r="E83" s="2"/>
      <c r="F83" s="2"/>
      <c r="G83" s="2"/>
      <c r="H83" s="2"/>
      <c r="I83" s="2"/>
      <c r="J83" s="2"/>
      <c r="K83" s="2"/>
    </row>
    <row r="84" spans="1:11">
      <c r="A84" s="3"/>
      <c r="B84" s="4"/>
      <c r="C84" s="4"/>
      <c r="D84" s="4"/>
      <c r="E84" s="2"/>
      <c r="F84" s="2"/>
      <c r="G84" s="2"/>
      <c r="H84" s="2"/>
      <c r="I84" s="2"/>
      <c r="J84" s="2"/>
      <c r="K84" s="2"/>
    </row>
    <row r="85" spans="1:11">
      <c r="A85" s="3"/>
      <c r="B85" s="4"/>
      <c r="C85" s="4"/>
      <c r="D85" s="4"/>
      <c r="E85" s="2"/>
      <c r="F85" s="2"/>
      <c r="G85" s="2"/>
      <c r="H85" s="2"/>
      <c r="I85" s="2"/>
      <c r="J85" s="2"/>
      <c r="K85" s="2"/>
    </row>
    <row r="86" spans="1:11">
      <c r="A86" s="3"/>
      <c r="B86" s="4"/>
      <c r="C86" s="4"/>
      <c r="D86" s="4"/>
      <c r="E86" s="2"/>
      <c r="F86" s="2"/>
      <c r="G86" s="2"/>
      <c r="H86" s="2"/>
      <c r="I86" s="2"/>
      <c r="J86" s="2"/>
      <c r="K86" s="2"/>
    </row>
    <row r="87" spans="1:11">
      <c r="A87" s="3"/>
      <c r="B87" s="4"/>
      <c r="C87" s="4"/>
      <c r="D87" s="4"/>
      <c r="E87" s="2"/>
      <c r="F87" s="2"/>
      <c r="G87" s="2"/>
      <c r="H87" s="2"/>
      <c r="I87" s="2"/>
      <c r="J87" s="2"/>
      <c r="K87" s="2"/>
    </row>
    <row r="88" spans="1:11">
      <c r="A88" s="3"/>
      <c r="B88" s="4"/>
      <c r="C88" s="4"/>
      <c r="D88" s="4"/>
      <c r="E88" s="2"/>
      <c r="F88" s="2"/>
      <c r="G88" s="2"/>
      <c r="H88" s="2"/>
      <c r="I88" s="2"/>
      <c r="J88" s="2"/>
      <c r="K88" s="2"/>
    </row>
    <row r="89" spans="1:11">
      <c r="A89" s="3"/>
      <c r="B89" s="4"/>
      <c r="C89" s="4"/>
      <c r="D89" s="4"/>
      <c r="E89" s="2"/>
      <c r="F89" s="2"/>
      <c r="G89" s="2"/>
      <c r="H89" s="2"/>
      <c r="I89" s="2"/>
      <c r="J89" s="2"/>
      <c r="K89" s="2"/>
    </row>
    <row r="90" spans="1:11">
      <c r="A90" s="3"/>
      <c r="B90" s="4"/>
      <c r="C90" s="4"/>
      <c r="D90" s="4"/>
      <c r="E90" s="2"/>
      <c r="F90" s="2"/>
      <c r="G90" s="2"/>
      <c r="H90" s="2"/>
      <c r="I90" s="2"/>
      <c r="J90" s="2"/>
      <c r="K90" s="2"/>
    </row>
    <row r="91" spans="1:11">
      <c r="A91" s="3"/>
      <c r="B91" s="4"/>
      <c r="C91" s="4"/>
      <c r="D91" s="4"/>
      <c r="E91" s="2"/>
      <c r="F91" s="2"/>
      <c r="G91" s="2"/>
      <c r="H91" s="2"/>
      <c r="I91" s="2"/>
      <c r="J91" s="2"/>
      <c r="K91" s="2"/>
    </row>
    <row r="92" spans="1:11">
      <c r="A92" s="3"/>
      <c r="B92" s="4"/>
      <c r="C92" s="4"/>
      <c r="D92" s="4"/>
      <c r="E92" s="2"/>
      <c r="F92" s="2"/>
      <c r="G92" s="2"/>
      <c r="H92" s="2"/>
      <c r="I92" s="2"/>
      <c r="J92" s="2"/>
      <c r="K92" s="2"/>
    </row>
    <row r="93" spans="1:11">
      <c r="A93" s="3"/>
      <c r="B93" s="4"/>
      <c r="C93" s="4"/>
      <c r="D93" s="4"/>
      <c r="E93" s="2"/>
      <c r="F93" s="2"/>
      <c r="G93" s="2"/>
      <c r="H93" s="2"/>
      <c r="I93" s="2"/>
      <c r="J93" s="2"/>
      <c r="K93" s="2"/>
    </row>
    <row r="94" spans="1:11">
      <c r="A94" s="3"/>
      <c r="B94" s="4"/>
      <c r="C94" s="4"/>
      <c r="D94" s="4"/>
      <c r="E94" s="2"/>
      <c r="F94" s="2"/>
      <c r="G94" s="2"/>
      <c r="H94" s="2"/>
      <c r="I94" s="2"/>
      <c r="J94" s="2"/>
      <c r="K94" s="2"/>
    </row>
    <row r="95" spans="1:11">
      <c r="A95" s="3"/>
      <c r="B95" s="4"/>
      <c r="C95" s="4"/>
      <c r="D95" s="4"/>
      <c r="E95" s="2"/>
      <c r="F95" s="2"/>
      <c r="G95" s="2"/>
      <c r="H95" s="2"/>
      <c r="I95" s="2"/>
      <c r="J95" s="2"/>
      <c r="K95" s="2"/>
    </row>
    <row r="96" spans="1:11">
      <c r="A96" s="3"/>
      <c r="B96" s="4"/>
      <c r="C96" s="4"/>
      <c r="D96" s="4"/>
      <c r="E96" s="2"/>
      <c r="F96" s="2"/>
      <c r="G96" s="2"/>
      <c r="H96" s="2"/>
      <c r="I96" s="2"/>
      <c r="J96" s="2"/>
      <c r="K96" s="2"/>
    </row>
    <row r="97" spans="1:11">
      <c r="A97" s="3"/>
      <c r="B97" s="4"/>
      <c r="C97" s="4"/>
      <c r="D97" s="4"/>
      <c r="E97" s="2"/>
      <c r="F97" s="2"/>
      <c r="G97" s="2"/>
      <c r="H97" s="2"/>
      <c r="I97" s="2"/>
      <c r="J97" s="2"/>
      <c r="K97" s="2"/>
    </row>
    <row r="98" spans="1:11">
      <c r="A98" s="3"/>
      <c r="B98" s="4"/>
      <c r="C98" s="4"/>
      <c r="D98" s="4"/>
      <c r="E98" s="2"/>
      <c r="F98" s="2"/>
      <c r="G98" s="2"/>
      <c r="H98" s="2"/>
      <c r="I98" s="2"/>
      <c r="J98" s="2"/>
      <c r="K98" s="2"/>
    </row>
    <row r="99" spans="1:11">
      <c r="A99" s="3"/>
      <c r="B99" s="4"/>
      <c r="C99" s="4"/>
      <c r="D99" s="4"/>
      <c r="E99" s="2"/>
      <c r="F99" s="2"/>
      <c r="G99" s="2"/>
      <c r="H99" s="2"/>
      <c r="I99" s="2"/>
      <c r="J99" s="2"/>
      <c r="K99" s="2"/>
    </row>
    <row r="100" spans="1:11">
      <c r="A100" s="3"/>
      <c r="B100" s="4"/>
      <c r="C100" s="4"/>
      <c r="D100" s="4"/>
      <c r="E100" s="2"/>
      <c r="F100" s="2"/>
      <c r="G100" s="2"/>
      <c r="H100" s="2"/>
      <c r="I100" s="2"/>
      <c r="J100" s="2"/>
      <c r="K100" s="2"/>
    </row>
    <row r="101" spans="1:11">
      <c r="A101" s="3"/>
      <c r="B101" s="4"/>
      <c r="C101" s="4"/>
      <c r="D101" s="4"/>
      <c r="E101" s="2"/>
      <c r="F101" s="2"/>
      <c r="G101" s="2"/>
      <c r="H101" s="2"/>
      <c r="I101" s="2"/>
      <c r="J101" s="2"/>
      <c r="K101" s="2"/>
    </row>
    <row r="102" spans="1:11">
      <c r="A102" s="3"/>
      <c r="B102" s="4"/>
      <c r="C102" s="4"/>
      <c r="D102" s="4"/>
      <c r="E102" s="2"/>
      <c r="F102" s="2"/>
      <c r="G102" s="2"/>
      <c r="H102" s="2"/>
      <c r="I102" s="2"/>
      <c r="J102" s="2"/>
      <c r="K102" s="2"/>
    </row>
    <row r="103" spans="1:11">
      <c r="A103" s="3"/>
      <c r="B103" s="4"/>
      <c r="C103" s="4"/>
      <c r="D103" s="4"/>
      <c r="E103" s="2"/>
      <c r="F103" s="2"/>
      <c r="G103" s="2"/>
      <c r="H103" s="2"/>
      <c r="I103" s="2"/>
      <c r="J103" s="2"/>
      <c r="K103" s="2"/>
    </row>
    <row r="104" spans="1:11">
      <c r="A104" s="3"/>
      <c r="B104" s="4"/>
      <c r="C104" s="4"/>
      <c r="D104" s="4"/>
      <c r="E104" s="2"/>
      <c r="F104" s="2"/>
      <c r="G104" s="2"/>
      <c r="H104" s="2"/>
      <c r="I104" s="2"/>
      <c r="J104" s="2"/>
      <c r="K104" s="2"/>
    </row>
    <row r="105" spans="1:11">
      <c r="A105" s="3"/>
      <c r="B105" s="4"/>
      <c r="C105" s="4"/>
      <c r="D105" s="4"/>
      <c r="E105" s="2"/>
      <c r="F105" s="2"/>
      <c r="G105" s="2"/>
      <c r="H105" s="2"/>
      <c r="I105" s="2"/>
      <c r="J105" s="2"/>
      <c r="K105" s="2"/>
    </row>
    <row r="106" spans="1:11">
      <c r="A106" s="3"/>
      <c r="B106" s="4"/>
      <c r="C106" s="4"/>
      <c r="D106" s="4"/>
      <c r="E106" s="2"/>
      <c r="F106" s="2"/>
      <c r="G106" s="2"/>
      <c r="H106" s="2"/>
      <c r="I106" s="2"/>
      <c r="J106" s="2"/>
      <c r="K106" s="2"/>
    </row>
    <row r="107" spans="1:11">
      <c r="A107" s="3"/>
      <c r="B107" s="4"/>
      <c r="C107" s="4"/>
      <c r="D107" s="4"/>
      <c r="E107" s="2"/>
      <c r="F107" s="2"/>
      <c r="G107" s="2"/>
      <c r="H107" s="2"/>
      <c r="I107" s="2"/>
      <c r="J107" s="2"/>
      <c r="K107" s="2"/>
    </row>
    <row r="108" spans="1:11">
      <c r="A108" s="3"/>
      <c r="B108" s="4"/>
      <c r="C108" s="4"/>
      <c r="D108" s="4"/>
      <c r="E108" s="2"/>
      <c r="F108" s="2"/>
      <c r="G108" s="2"/>
      <c r="H108" s="2"/>
      <c r="I108" s="2"/>
      <c r="J108" s="2"/>
      <c r="K108" s="2"/>
    </row>
    <row r="109" spans="1:11">
      <c r="A109" s="3"/>
      <c r="B109" s="4"/>
      <c r="C109" s="4"/>
      <c r="D109" s="4"/>
      <c r="E109" s="2"/>
      <c r="F109" s="2"/>
      <c r="G109" s="2"/>
      <c r="H109" s="2"/>
      <c r="I109" s="2"/>
      <c r="J109" s="2"/>
      <c r="K109" s="2"/>
    </row>
    <row r="110" spans="1:11">
      <c r="A110" s="3"/>
      <c r="B110" s="4"/>
      <c r="C110" s="4"/>
      <c r="D110" s="4"/>
      <c r="E110" s="2"/>
      <c r="F110" s="2"/>
      <c r="G110" s="2"/>
      <c r="H110" s="2"/>
      <c r="I110" s="2"/>
      <c r="J110" s="2"/>
      <c r="K110" s="2"/>
    </row>
    <row r="111" spans="1:11">
      <c r="A111" s="3"/>
      <c r="B111" s="4"/>
      <c r="C111" s="4"/>
      <c r="D111" s="4"/>
      <c r="E111" s="2"/>
      <c r="F111" s="2"/>
      <c r="G111" s="2"/>
      <c r="H111" s="2"/>
      <c r="I111" s="2"/>
      <c r="J111" s="2"/>
      <c r="K111" s="2"/>
    </row>
    <row r="112" spans="1:11">
      <c r="A112" s="3"/>
      <c r="B112" s="4"/>
      <c r="C112" s="4"/>
      <c r="D112" s="4"/>
      <c r="E112" s="2"/>
      <c r="F112" s="2"/>
      <c r="G112" s="2"/>
      <c r="H112" s="2"/>
      <c r="I112" s="2"/>
      <c r="J112" s="2"/>
      <c r="K112" s="2"/>
    </row>
    <row r="113" spans="1:11">
      <c r="A113" s="3"/>
      <c r="B113" s="4"/>
      <c r="C113" s="4"/>
      <c r="D113" s="4"/>
      <c r="E113" s="2"/>
      <c r="F113" s="2"/>
      <c r="G113" s="2"/>
      <c r="H113" s="2"/>
      <c r="I113" s="2"/>
      <c r="J113" s="2"/>
      <c r="K113" s="2"/>
    </row>
    <row r="114" spans="1:11">
      <c r="A114" s="3"/>
      <c r="B114" s="4"/>
      <c r="C114" s="4"/>
      <c r="D114" s="4"/>
      <c r="E114" s="2"/>
      <c r="F114" s="2"/>
      <c r="G114" s="2"/>
      <c r="H114" s="2"/>
      <c r="I114" s="2"/>
      <c r="J114" s="2"/>
      <c r="K114" s="2"/>
    </row>
    <row r="115" spans="1:11">
      <c r="A115" s="3"/>
      <c r="B115" s="4"/>
      <c r="C115" s="4"/>
      <c r="D115" s="4"/>
      <c r="E115" s="2"/>
      <c r="F115" s="2"/>
      <c r="G115" s="2"/>
      <c r="H115" s="2"/>
      <c r="I115" s="2"/>
      <c r="J115" s="2"/>
      <c r="K115" s="2"/>
    </row>
    <row r="116" spans="1:11">
      <c r="A116" s="3"/>
      <c r="B116" s="4"/>
      <c r="C116" s="4"/>
      <c r="D116" s="4"/>
      <c r="E116" s="2"/>
      <c r="F116" s="2"/>
      <c r="G116" s="2"/>
      <c r="H116" s="2"/>
      <c r="I116" s="2"/>
      <c r="J116" s="2"/>
      <c r="K116" s="2"/>
    </row>
    <row r="117" spans="1:11">
      <c r="A117" s="3"/>
      <c r="B117" s="4"/>
      <c r="C117" s="4"/>
      <c r="D117" s="4"/>
      <c r="E117" s="2"/>
      <c r="F117" s="2"/>
      <c r="G117" s="2"/>
      <c r="H117" s="2"/>
      <c r="I117" s="2"/>
      <c r="J117" s="2"/>
      <c r="K117" s="2"/>
    </row>
    <row r="118" spans="1:11">
      <c r="A118" s="3"/>
      <c r="B118" s="4"/>
      <c r="C118" s="4"/>
      <c r="D118" s="4"/>
      <c r="E118" s="2"/>
      <c r="F118" s="2"/>
      <c r="G118" s="2"/>
      <c r="H118" s="2"/>
      <c r="I118" s="2"/>
      <c r="J118" s="2"/>
      <c r="K118" s="2"/>
    </row>
    <row r="119" spans="1:11">
      <c r="A119" s="3"/>
      <c r="B119" s="4"/>
      <c r="C119" s="4"/>
      <c r="D119" s="4"/>
      <c r="E119" s="2"/>
      <c r="F119" s="2"/>
      <c r="G119" s="2"/>
      <c r="H119" s="2"/>
      <c r="I119" s="2"/>
      <c r="J119" s="2"/>
      <c r="K119" s="2"/>
    </row>
    <row r="120" spans="1:11">
      <c r="A120" s="3"/>
      <c r="B120" s="4"/>
      <c r="C120" s="4"/>
      <c r="D120" s="4"/>
      <c r="E120" s="2"/>
      <c r="F120" s="2"/>
      <c r="G120" s="2"/>
      <c r="H120" s="2"/>
      <c r="I120" s="2"/>
      <c r="J120" s="2"/>
      <c r="K120" s="2"/>
    </row>
    <row r="121" spans="1:11">
      <c r="A121" s="3"/>
      <c r="B121" s="4"/>
      <c r="C121" s="4"/>
      <c r="D121" s="4"/>
      <c r="E121" s="2"/>
      <c r="F121" s="2"/>
      <c r="G121" s="2"/>
      <c r="H121" s="2"/>
      <c r="I121" s="2"/>
      <c r="J121" s="2"/>
      <c r="K121" s="2"/>
    </row>
    <row r="122" spans="1:11">
      <c r="A122" s="3"/>
      <c r="B122" s="4"/>
      <c r="C122" s="4"/>
      <c r="D122" s="4"/>
      <c r="E122" s="2"/>
      <c r="F122" s="2"/>
      <c r="G122" s="2"/>
      <c r="H122" s="2"/>
      <c r="I122" s="2"/>
      <c r="J122" s="2"/>
      <c r="K122" s="2"/>
    </row>
    <row r="123" spans="1:11">
      <c r="A123" s="3"/>
      <c r="B123" s="4"/>
      <c r="C123" s="4"/>
      <c r="D123" s="4"/>
      <c r="E123" s="2"/>
      <c r="F123" s="2"/>
      <c r="G123" s="2"/>
      <c r="H123" s="2"/>
      <c r="I123" s="2"/>
      <c r="J123" s="2"/>
      <c r="K123" s="2"/>
    </row>
    <row r="124" spans="1:11">
      <c r="A124" s="3"/>
      <c r="B124" s="4"/>
      <c r="C124" s="4"/>
      <c r="D124" s="4"/>
      <c r="E124" s="2"/>
      <c r="F124" s="2"/>
      <c r="G124" s="2"/>
      <c r="H124" s="2"/>
      <c r="I124" s="2"/>
      <c r="J124" s="2"/>
      <c r="K124" s="2"/>
    </row>
    <row r="125" spans="1:11">
      <c r="A125" s="3"/>
      <c r="B125" s="4"/>
      <c r="C125" s="4"/>
      <c r="D125" s="4"/>
      <c r="E125" s="2"/>
      <c r="F125" s="2"/>
      <c r="G125" s="2"/>
      <c r="H125" s="2"/>
      <c r="I125" s="2"/>
      <c r="J125" s="2"/>
      <c r="K125" s="2"/>
    </row>
    <row r="126" spans="1:11">
      <c r="A126" s="3"/>
      <c r="B126" s="4"/>
      <c r="C126" s="4"/>
      <c r="D126" s="4"/>
      <c r="E126" s="2"/>
      <c r="F126" s="2"/>
      <c r="G126" s="2"/>
      <c r="H126" s="2"/>
      <c r="I126" s="2"/>
      <c r="J126" s="2"/>
      <c r="K126" s="2"/>
    </row>
    <row r="127" spans="1:11">
      <c r="A127" s="3"/>
      <c r="B127" s="4"/>
      <c r="C127" s="4"/>
      <c r="D127" s="4"/>
      <c r="E127" s="2"/>
      <c r="F127" s="2"/>
      <c r="G127" s="2"/>
      <c r="H127" s="2"/>
      <c r="I127" s="2"/>
      <c r="J127" s="2"/>
      <c r="K127" s="2"/>
    </row>
    <row r="128" spans="1:11">
      <c r="A128" s="3"/>
      <c r="B128" s="4"/>
      <c r="C128" s="4"/>
      <c r="D128" s="4"/>
      <c r="E128" s="2"/>
      <c r="F128" s="2"/>
      <c r="G128" s="2"/>
      <c r="H128" s="2"/>
      <c r="I128" s="2"/>
      <c r="J128" s="2"/>
      <c r="K128" s="2"/>
    </row>
    <row r="129" spans="1:11">
      <c r="A129" s="3"/>
      <c r="B129" s="4"/>
      <c r="C129" s="4"/>
      <c r="D129" s="4"/>
      <c r="E129" s="2"/>
      <c r="F129" s="2"/>
      <c r="G129" s="2"/>
      <c r="H129" s="2"/>
      <c r="I129" s="2"/>
      <c r="J129" s="2"/>
      <c r="K129" s="2"/>
    </row>
    <row r="130" spans="1:11">
      <c r="A130" s="3"/>
      <c r="B130" s="4"/>
      <c r="C130" s="4"/>
      <c r="D130" s="4"/>
      <c r="E130" s="2"/>
      <c r="F130" s="2"/>
      <c r="G130" s="2"/>
      <c r="H130" s="2"/>
      <c r="I130" s="2"/>
      <c r="J130" s="2"/>
      <c r="K130" s="2"/>
    </row>
    <row r="131" spans="1:11">
      <c r="A131" s="3"/>
      <c r="B131" s="4"/>
      <c r="C131" s="4"/>
      <c r="D131" s="4"/>
      <c r="E131" s="2"/>
      <c r="F131" s="2"/>
      <c r="G131" s="2"/>
      <c r="H131" s="2"/>
      <c r="I131" s="2"/>
      <c r="J131" s="2"/>
      <c r="K131" s="2"/>
    </row>
    <row r="132" spans="1:11" ht="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 ht="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 ht="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 ht="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 ht="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 ht="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 ht="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 ht="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 ht="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 ht="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 ht="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 ht="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1:11" ht="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1:11" ht="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spans="1:11" ht="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spans="1:11" ht="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spans="1:11" ht="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spans="1:11" ht="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spans="1:11" ht="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spans="1:11" ht="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spans="1:11" ht="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</row>
    <row r="1000" spans="1:11" ht="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</row>
    <row r="1001" spans="1:11" ht="1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</row>
    <row r="1002" spans="1:11" ht="1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</row>
    <row r="1003" spans="1:11" ht="1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</row>
    <row r="1004" spans="1:11" ht="1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</row>
    <row r="1005" spans="1:11" ht="1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</row>
    <row r="1006" spans="1:11" ht="1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</row>
    <row r="1007" spans="1:11" ht="1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</row>
    <row r="1008" spans="1:11" ht="1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</row>
    <row r="1009" spans="1:11" ht="1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</row>
    <row r="1010" spans="1:11" ht="1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</row>
    <row r="1011" spans="1:11" ht="1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</row>
    <row r="1012" spans="1:11" ht="1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</row>
    <row r="1013" spans="1:11" ht="1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</row>
    <row r="1014" spans="1:11" ht="1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</row>
    <row r="1015" spans="1:11" ht="1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</row>
    <row r="1016" spans="1:11" ht="1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</row>
    <row r="1017" spans="1:11" ht="1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</row>
    <row r="1018" spans="1:11" ht="1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</row>
    <row r="1019" spans="1:11" ht="1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</row>
    <row r="1020" spans="1:11" ht="1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</row>
    <row r="1021" spans="1:11" ht="1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</row>
    <row r="1022" spans="1:11" ht="1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</row>
    <row r="1023" spans="1:11" ht="1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</row>
    <row r="1024" spans="1:11" ht="1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</row>
    <row r="1025" spans="1:11" ht="1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</row>
    <row r="1026" spans="1:11" ht="1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</row>
    <row r="1027" spans="1:11" ht="1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</row>
    <row r="1028" spans="1:11" ht="1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</row>
    <row r="1029" spans="1:11" ht="1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</row>
    <row r="1030" spans="1:11" ht="1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</row>
    <row r="1031" spans="1:11" ht="1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</row>
    <row r="1032" spans="1:11" ht="1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</row>
    <row r="1033" spans="1:11" ht="1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</row>
    <row r="1034" spans="1:11" ht="1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</row>
    <row r="1035" spans="1:11" ht="1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</row>
    <row r="1036" spans="1:11" ht="1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</row>
    <row r="1037" spans="1:11" ht="1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</row>
    <row r="1038" spans="1:11" ht="1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</row>
    <row r="1039" spans="1:11" ht="1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</row>
    <row r="1040" spans="1:11" ht="1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</row>
    <row r="1041" spans="1:11" ht="1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</row>
    <row r="1042" spans="1:11" ht="1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</row>
    <row r="1043" spans="1:11" ht="1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</row>
    <row r="1044" spans="1:11" ht="1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</row>
    <row r="1045" spans="1:11" ht="1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</row>
    <row r="1046" spans="1:11" ht="1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</row>
    <row r="1047" spans="1:11" ht="1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</row>
    <row r="1048" spans="1:11" ht="1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</row>
    <row r="1049" spans="1:11" ht="1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</row>
    <row r="1050" spans="1:11" ht="1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</row>
    <row r="1051" spans="1:11" ht="1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</row>
    <row r="1052" spans="1:11" ht="1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</row>
    <row r="1053" spans="1:11" ht="1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</row>
    <row r="1054" spans="1:11" ht="1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</row>
    <row r="1055" spans="1:11" ht="1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</row>
    <row r="1056" spans="1:11" ht="1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</row>
    <row r="1057" spans="1:11" ht="1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</row>
    <row r="1058" spans="1:11" ht="1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</row>
    <row r="1059" spans="1:11" ht="1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</row>
    <row r="1060" spans="1:11" ht="1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</row>
    <row r="1061" spans="1:11" ht="1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</row>
    <row r="1062" spans="1:11" ht="1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</row>
    <row r="1063" spans="1:11" ht="1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</row>
    <row r="1064" spans="1:11" ht="1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</row>
    <row r="1065" spans="1:11" ht="1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</row>
    <row r="1066" spans="1:11" ht="1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</row>
    <row r="1067" spans="1:11" ht="1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</row>
    <row r="1068" spans="1:11" ht="1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</row>
    <row r="1069" spans="1:11" ht="1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</row>
    <row r="1070" spans="1:11" ht="1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</row>
    <row r="1071" spans="1:11" ht="1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</row>
    <row r="1072" spans="1:11" ht="1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</row>
    <row r="1073" spans="1:11" ht="1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</row>
    <row r="1074" spans="1:11" ht="1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</row>
    <row r="1075" spans="1:11" ht="1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</row>
    <row r="1076" spans="1:11" ht="1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</row>
    <row r="1077" spans="1:11" ht="1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</row>
    <row r="1078" spans="1:11" ht="1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</row>
    <row r="1079" spans="1:11" ht="1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</row>
    <row r="1080" spans="1:11" ht="1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</row>
    <row r="1081" spans="1:11" ht="1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</row>
    <row r="1082" spans="1:11" ht="1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</row>
    <row r="1083" spans="1:11" ht="1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</row>
    <row r="1084" spans="1:11" ht="1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</row>
    <row r="1085" spans="1:11" ht="1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</row>
    <row r="1086" spans="1:11" ht="1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</row>
    <row r="1087" spans="1:11" ht="1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</row>
    <row r="1088" spans="1:11" ht="1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</row>
    <row r="1089" spans="1:11" ht="1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</row>
    <row r="1090" spans="1:11" ht="1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</row>
    <row r="1091" spans="1:11" ht="1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</row>
    <row r="1092" spans="1:11" ht="1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</row>
    <row r="1093" spans="1:11" ht="1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</row>
    <row r="1094" spans="1:11" ht="1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</row>
    <row r="1095" spans="1:11" ht="1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</row>
    <row r="1096" spans="1:11" ht="1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</row>
    <row r="1097" spans="1:11" ht="1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</row>
    <row r="1098" spans="1:11" ht="1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</row>
    <row r="1099" spans="1:11" ht="1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</row>
    <row r="1100" spans="1:11" ht="1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</row>
    <row r="1101" spans="1:11" ht="1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</row>
    <row r="1102" spans="1:11" ht="1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</row>
    <row r="1103" spans="1:11" ht="1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</row>
    <row r="1104" spans="1:11" ht="1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</row>
    <row r="1105" spans="1:11" ht="1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</row>
    <row r="1106" spans="1:11" ht="1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</row>
    <row r="1107" spans="1:11" ht="1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</row>
    <row r="1108" spans="1:11" ht="1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</row>
    <row r="1109" spans="1:11" ht="1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</row>
    <row r="1110" spans="1:11" ht="1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</row>
    <row r="1111" spans="1:11" ht="1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</row>
    <row r="1112" spans="1:11" ht="1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</row>
    <row r="1113" spans="1:11" ht="1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</row>
    <row r="1114" spans="1:11" ht="1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</row>
    <row r="1115" spans="1:11" ht="1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</row>
    <row r="1116" spans="1:11" ht="1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</row>
    <row r="1117" spans="1:11" ht="1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</row>
    <row r="1118" spans="1:11" ht="1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</row>
    <row r="1119" spans="1:11" ht="1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</row>
    <row r="1120" spans="1:11" ht="1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</row>
    <row r="1121" spans="1:11" ht="1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</row>
    <row r="1122" spans="1:11" ht="1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</row>
    <row r="1123" spans="1:11" ht="1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</row>
    <row r="1124" spans="1:11" ht="1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</row>
    <row r="1125" spans="1:11" ht="1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</row>
    <row r="1126" spans="1:11" ht="1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</row>
    <row r="1127" spans="1:11" ht="1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</row>
    <row r="1128" spans="1:11" ht="1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</row>
    <row r="1129" spans="1:11" ht="1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</row>
    <row r="1130" spans="1:11" ht="1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</row>
    <row r="1131" spans="1:11" ht="1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</row>
    <row r="1132" spans="1:11" ht="1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</row>
    <row r="1133" spans="1:11" ht="1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</row>
    <row r="1134" spans="1:11" ht="1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</row>
    <row r="1135" spans="1:11" ht="1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</row>
    <row r="1136" spans="1:11" ht="1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</row>
    <row r="1137" spans="1:11" ht="1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</row>
    <row r="1138" spans="1:11" ht="1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</row>
    <row r="1139" spans="1:11" ht="1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</row>
    <row r="1140" spans="1:11" ht="1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</row>
    <row r="1141" spans="1:11" ht="1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</row>
    <row r="1142" spans="1:11" ht="1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</row>
    <row r="1143" spans="1:11" ht="1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</row>
    <row r="1144" spans="1:11" ht="1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</row>
    <row r="1145" spans="1:11" ht="1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</row>
    <row r="1146" spans="1:11" ht="1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</row>
    <row r="1147" spans="1:11" ht="1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</row>
    <row r="1148" spans="1:11" ht="1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</row>
    <row r="1149" spans="1:11" ht="1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</row>
    <row r="1150" spans="1:11" ht="1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</row>
    <row r="1151" spans="1:11" ht="1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</row>
    <row r="1152" spans="1:11" ht="1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</row>
    <row r="1153" spans="1:11" ht="1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</row>
    <row r="1154" spans="1:11" ht="1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</row>
    <row r="1155" spans="1:11" ht="1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</row>
    <row r="1156" spans="1:11" ht="1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</row>
    <row r="1157" spans="1:11" ht="1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</row>
    <row r="1158" spans="1:11" ht="1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</row>
    <row r="1159" spans="1:11" ht="1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</row>
    <row r="1160" spans="1:11" ht="1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</row>
    <row r="1161" spans="1:11" ht="1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</row>
    <row r="1162" spans="1:11" ht="1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</row>
    <row r="1163" spans="1:11" ht="1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</row>
    <row r="1164" spans="1:11" ht="1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</row>
    <row r="1165" spans="1:11" ht="1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</row>
    <row r="1166" spans="1:11" ht="1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</row>
    <row r="1167" spans="1:11" ht="1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</row>
    <row r="1168" spans="1:11" ht="1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</row>
    <row r="1169" spans="1:11" ht="1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</row>
    <row r="1170" spans="1:11" ht="1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</row>
    <row r="1171" spans="1:11" ht="1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</row>
    <row r="1172" spans="1:11" ht="1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</row>
    <row r="1173" spans="1:11" ht="1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</row>
    <row r="1174" spans="1:11" ht="1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</row>
    <row r="1175" spans="1:11" ht="1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</row>
    <row r="1176" spans="1:11" ht="1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</row>
    <row r="1177" spans="1:11" ht="1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</row>
    <row r="1178" spans="1:11" ht="1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</row>
    <row r="1179" spans="1:11" ht="1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</row>
    <row r="1180" spans="1:11" ht="1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</row>
    <row r="1181" spans="1:11" ht="1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</row>
    <row r="1182" spans="1:11" ht="1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</row>
    <row r="1183" spans="1:11" ht="1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</row>
    <row r="1184" spans="1:11" ht="1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</row>
    <row r="1185" spans="1:11" ht="1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</row>
    <row r="1186" spans="1:11" ht="1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</row>
    <row r="1187" spans="1:11" ht="1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</row>
    <row r="1188" spans="1:11" ht="1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</row>
    <row r="1189" spans="1:11" ht="1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</row>
    <row r="1190" spans="1:11" ht="1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</row>
    <row r="1191" spans="1:11" ht="1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</row>
    <row r="1192" spans="1:11" ht="1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</row>
    <row r="1193" spans="1:11" ht="1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</row>
    <row r="1194" spans="1:11" ht="1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</row>
    <row r="1195" spans="1:11" ht="1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</row>
    <row r="1196" spans="1:11" ht="1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</row>
    <row r="1197" spans="1:11" ht="1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</row>
    <row r="1198" spans="1:11" ht="1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</row>
    <row r="1199" spans="1:11" ht="1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</row>
    <row r="1200" spans="1:11" ht="1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</row>
    <row r="1201" spans="1:11" ht="1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</row>
    <row r="1202" spans="1:11" ht="15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</row>
    <row r="1203" spans="1:11" ht="15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</row>
    <row r="1204" spans="1:11" ht="15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</row>
    <row r="1205" spans="1:11" ht="15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</row>
    <row r="1206" spans="1:11" ht="15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</row>
    <row r="1207" spans="1:11" ht="15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</row>
    <row r="1208" spans="1:11" ht="1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</row>
    <row r="1209" spans="1:11" ht="1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</row>
    <row r="1210" spans="1:11" ht="1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</row>
    <row r="1211" spans="1:11" ht="1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</row>
    <row r="1212" spans="1:11" ht="1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</row>
    <row r="1213" spans="1:11" ht="1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</row>
    <row r="1214" spans="1:11" ht="1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</row>
    <row r="1215" spans="1:11" ht="1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</row>
    <row r="1216" spans="1:11" ht="1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</row>
    <row r="1217" spans="1:11" ht="1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</row>
    <row r="1218" spans="1:11" ht="1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</row>
    <row r="1219" spans="1:11" ht="1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</row>
    <row r="1220" spans="1:11" ht="15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</row>
    <row r="1221" spans="1:11" ht="15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</row>
    <row r="1222" spans="1:11" ht="15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</row>
    <row r="1223" spans="1:11" ht="15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</row>
    <row r="1224" spans="1:11" ht="15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</row>
    <row r="1225" spans="1:11" ht="15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</row>
    <row r="1226" spans="1:11" ht="15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</row>
    <row r="1227" spans="1:11" ht="15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</row>
    <row r="1228" spans="1:11" ht="15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</row>
    <row r="1229" spans="1:11" ht="15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</row>
    <row r="1230" spans="1:11" ht="15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</row>
    <row r="1231" spans="1:11" ht="15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</row>
    <row r="1232" spans="1:11" ht="15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</row>
    <row r="1233" spans="1:11" ht="15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</row>
    <row r="1234" spans="1:11" ht="15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</row>
    <row r="1235" spans="1:11" ht="15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</row>
    <row r="1236" spans="1:11" ht="15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</row>
    <row r="1237" spans="1:11" ht="15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</row>
    <row r="1238" spans="1:11" ht="15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</row>
    <row r="1239" spans="1:11" ht="15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</row>
    <row r="1240" spans="1:11" ht="1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</row>
    <row r="1241" spans="1:11" ht="1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</row>
    <row r="1242" spans="1:11" ht="1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</row>
    <row r="1243" spans="1:11" ht="1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</row>
    <row r="1244" spans="1:11" ht="1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</row>
    <row r="1245" spans="1:11" ht="1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</row>
    <row r="1246" spans="1:11" ht="1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</row>
    <row r="1247" spans="1:11" ht="1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</row>
    <row r="1248" spans="1:11" ht="1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</row>
    <row r="1249" spans="1:11" ht="1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</row>
    <row r="1250" spans="1:11" ht="1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</row>
    <row r="1251" spans="1:11" ht="1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</row>
    <row r="1252" spans="1:11" ht="1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</row>
    <row r="1253" spans="1:11" ht="1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</row>
    <row r="1254" spans="1:11" ht="1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</row>
    <row r="1255" spans="1:11" ht="1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</row>
    <row r="1256" spans="1:11" ht="1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</row>
    <row r="1257" spans="1:11" ht="1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</row>
    <row r="1258" spans="1:11" ht="1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</row>
    <row r="1259" spans="1:11" ht="1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</row>
    <row r="1260" spans="1:11" ht="1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</row>
    <row r="1261" spans="1:11" ht="1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</row>
    <row r="1262" spans="1:11" ht="1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</row>
    <row r="1263" spans="1:11" ht="1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</row>
    <row r="1264" spans="1:11" ht="1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</row>
    <row r="1265" spans="1:11" ht="1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</row>
    <row r="1266" spans="1:11" ht="1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</row>
    <row r="1267" spans="1:11" ht="1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</row>
    <row r="1268" spans="1:11" ht="1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</row>
    <row r="1269" spans="1:11" ht="1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</row>
    <row r="1270" spans="1:11" ht="1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</row>
    <row r="1271" spans="1:11" ht="1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</row>
    <row r="1272" spans="1:11" ht="1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</row>
    <row r="1273" spans="1:11" ht="1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</row>
    <row r="1274" spans="1:11" ht="1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</row>
    <row r="1275" spans="1:11" ht="1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</row>
    <row r="1276" spans="1:11" ht="1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</row>
    <row r="1277" spans="1:11" ht="1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</row>
    <row r="1278" spans="1:11" ht="15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</row>
    <row r="1279" spans="1:11" ht="15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</row>
    <row r="1280" spans="1:11" ht="15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</row>
    <row r="1281" spans="1:11" ht="15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</row>
    <row r="1282" spans="1:11" ht="15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</row>
    <row r="1283" spans="1:11" ht="15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</row>
    <row r="1284" spans="1:11" ht="15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</row>
    <row r="1285" spans="1:11" ht="15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</row>
    <row r="1286" spans="1:11" ht="15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</row>
    <row r="1287" spans="1:11" ht="1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</row>
    <row r="1288" spans="1:11" ht="1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</row>
    <row r="1289" spans="1:11" ht="1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</row>
    <row r="1290" spans="1:11" ht="1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</row>
    <row r="1291" spans="1:11" ht="1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</row>
    <row r="1292" spans="1:11" ht="1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</row>
    <row r="1293" spans="1:11" ht="1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</row>
    <row r="1294" spans="1:11" ht="1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</row>
    <row r="1295" spans="1:11" ht="1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</row>
    <row r="1296" spans="1:11" ht="1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</row>
    <row r="1297" spans="1:11" ht="1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</row>
    <row r="1298" spans="1:11" ht="1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</row>
    <row r="1299" spans="1:11" ht="1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</row>
    <row r="1300" spans="1:11" ht="1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</row>
    <row r="1301" spans="1:11" ht="1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</row>
    <row r="1302" spans="1:11" ht="1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</row>
    <row r="1303" spans="1:11" ht="1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</row>
    <row r="1304" spans="1:11" ht="1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</row>
    <row r="1305" spans="1:11" ht="1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</row>
    <row r="1306" spans="1:11" ht="1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</row>
    <row r="1307" spans="1:11" ht="1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</row>
    <row r="1308" spans="1:11" ht="1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</row>
    <row r="1309" spans="1:11" ht="1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</row>
    <row r="1310" spans="1:11" ht="1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</row>
    <row r="1311" spans="1:11" ht="1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</row>
    <row r="1312" spans="1:11" ht="1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</row>
    <row r="1313" spans="1:11" ht="1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</row>
    <row r="1314" spans="1:11" ht="1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</row>
    <row r="1315" spans="1:11" ht="1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</row>
    <row r="1316" spans="1:11" ht="1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</row>
    <row r="1317" spans="1:11" ht="1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</row>
    <row r="1318" spans="1:11" ht="1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</row>
    <row r="1319" spans="1:11" ht="1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</row>
    <row r="1320" spans="1:11" ht="1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</row>
    <row r="1321" spans="1:11" ht="1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</row>
    <row r="1322" spans="1:11" ht="1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</row>
    <row r="1323" spans="1:11" ht="1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</row>
    <row r="1324" spans="1:11" ht="1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</row>
    <row r="1325" spans="1:11" ht="1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</row>
    <row r="1326" spans="1:11" ht="1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</row>
    <row r="1327" spans="1:11" ht="1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</row>
    <row r="1328" spans="1:11" ht="1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</row>
    <row r="1329" spans="1:11" ht="1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</row>
    <row r="1330" spans="1:11" ht="1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</row>
    <row r="1331" spans="1:11" ht="1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</row>
    <row r="1332" spans="1:11" ht="1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</row>
    <row r="1333" spans="1:11" ht="1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</row>
    <row r="1334" spans="1:11" ht="1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</row>
    <row r="1335" spans="1:11" ht="1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</row>
    <row r="1336" spans="1:11" ht="1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</row>
    <row r="1337" spans="1:11" ht="1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</row>
    <row r="1338" spans="1:11" ht="1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</row>
    <row r="1339" spans="1:11" ht="1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</row>
    <row r="1340" spans="1:11" ht="1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</row>
    <row r="1341" spans="1:11" ht="1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</row>
    <row r="1342" spans="1:11" ht="1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</row>
    <row r="1343" spans="1:11" ht="1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</row>
    <row r="1344" spans="1:11" ht="1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</row>
    <row r="1345" spans="1:11" ht="1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</row>
    <row r="1346" spans="1:11" ht="1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</row>
    <row r="1347" spans="1:11" ht="1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</row>
    <row r="1348" spans="1:11" ht="1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</row>
    <row r="1349" spans="1:11" ht="1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</row>
    <row r="1350" spans="1:11" ht="1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</row>
    <row r="1351" spans="1:11" ht="1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</row>
    <row r="1352" spans="1:11" ht="1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</row>
    <row r="1353" spans="1:11" ht="1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</row>
    <row r="1354" spans="1:11" ht="1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</row>
    <row r="1355" spans="1:11" ht="1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</row>
    <row r="1356" spans="1:11" ht="1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</row>
    <row r="1357" spans="1:11" ht="1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</row>
    <row r="1358" spans="1:11" ht="1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</row>
    <row r="1359" spans="1:11" ht="1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</row>
    <row r="1360" spans="1:11" ht="1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</row>
    <row r="1361" spans="1:11" ht="1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</row>
    <row r="1362" spans="1:11" ht="1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</row>
    <row r="1363" spans="1:11" ht="1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</row>
    <row r="1364" spans="1:11" ht="1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</row>
    <row r="1365" spans="1:11" ht="1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</row>
    <row r="1366" spans="1:11" ht="1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</row>
    <row r="1367" spans="1:11" ht="1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</row>
    <row r="1368" spans="1:11" ht="15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</row>
    <row r="1369" spans="1:11" ht="15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</row>
    <row r="1370" spans="1:11" ht="15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</row>
    <row r="1371" spans="1:11" ht="15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</row>
    <row r="1372" spans="1:11" ht="15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</row>
    <row r="1373" spans="1:11" ht="15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</row>
    <row r="1374" spans="1:11" ht="15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</row>
    <row r="1375" spans="1:11" ht="15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</row>
    <row r="1376" spans="1:11" ht="15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</row>
    <row r="1377" spans="1:11" ht="15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</row>
    <row r="1378" spans="1:11" ht="15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</row>
    <row r="1379" spans="1:11" ht="15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</row>
    <row r="1380" spans="1:11" ht="15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</row>
    <row r="1381" spans="1:11" ht="15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</row>
    <row r="1382" spans="1:11" ht="15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</row>
    <row r="1383" spans="1:11" ht="15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</row>
    <row r="1384" spans="1:11" ht="1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</row>
    <row r="1385" spans="1:11" ht="1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</row>
    <row r="1386" spans="1:11" ht="1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</row>
    <row r="1387" spans="1:11" ht="1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</row>
    <row r="1388" spans="1:11" ht="1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</row>
    <row r="1389" spans="1:11" ht="1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</row>
    <row r="1390" spans="1:11" ht="1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</row>
    <row r="1391" spans="1:11" ht="1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</row>
    <row r="1392" spans="1:11" ht="1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</row>
    <row r="1393" spans="1:11" ht="1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</row>
    <row r="1394" spans="1:11" ht="1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</row>
    <row r="1395" spans="1:11" ht="1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</row>
    <row r="1396" spans="1:11" ht="1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</row>
    <row r="1397" spans="1:11" ht="1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</row>
    <row r="1398" spans="1:11" ht="15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</row>
    <row r="1399" spans="1:11" ht="15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</row>
    <row r="1400" spans="1:11" ht="15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</row>
    <row r="1401" spans="1:11" ht="15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</row>
    <row r="1402" spans="1:11" ht="15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</row>
    <row r="1403" spans="1:11" ht="15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</row>
    <row r="1404" spans="1:11" ht="15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</row>
    <row r="1405" spans="1:11" ht="15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</row>
    <row r="1406" spans="1:11" ht="15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</row>
    <row r="1407" spans="1:11" ht="15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</row>
    <row r="1408" spans="1:11" ht="15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</row>
    <row r="1409" spans="1:11" ht="15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</row>
    <row r="1410" spans="1:11" ht="15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</row>
    <row r="1411" spans="1:11" ht="15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</row>
    <row r="1412" spans="1:11" ht="15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</row>
    <row r="1413" spans="1:11" ht="15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</row>
    <row r="1414" spans="1:11" ht="15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</row>
    <row r="1415" spans="1:11" ht="15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</row>
    <row r="1416" spans="1:11" ht="15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</row>
    <row r="1417" spans="1:11" ht="15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</row>
    <row r="1418" spans="1:11" ht="15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</row>
    <row r="1419" spans="1:11" ht="15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</row>
    <row r="1420" spans="1:11" ht="15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</row>
    <row r="1421" spans="1:11" ht="15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</row>
    <row r="1422" spans="1:11" ht="15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</row>
    <row r="1423" spans="1:11" ht="15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</row>
    <row r="1424" spans="1:11" ht="15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</row>
    <row r="1425" spans="1:11" ht="15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</row>
    <row r="1426" spans="1:11" ht="15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</row>
    <row r="1427" spans="1:11" ht="15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</row>
    <row r="1428" spans="1:11" ht="15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</row>
    <row r="1429" spans="1:11" ht="15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</row>
    <row r="1430" spans="1:11" ht="15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</row>
    <row r="1431" spans="1:11" ht="15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</row>
    <row r="1432" spans="1:11" ht="1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</row>
    <row r="1433" spans="1:11" ht="15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</row>
    <row r="1434" spans="1:11" ht="15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</row>
    <row r="1435" spans="1:11" ht="1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</row>
    <row r="1436" spans="1:11" ht="15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</row>
    <row r="1437" spans="1:11" ht="15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</row>
    <row r="1438" spans="1:11" ht="1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</row>
    <row r="1439" spans="1:11" ht="1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</row>
    <row r="1440" spans="1:11" ht="1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</row>
    <row r="1441" spans="1:11" ht="1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</row>
    <row r="1442" spans="1:11" ht="1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</row>
    <row r="1443" spans="1:11" ht="15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</row>
    <row r="1444" spans="1:11" ht="1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</row>
    <row r="1445" spans="1:11" ht="15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</row>
    <row r="1446" spans="1:11" ht="1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</row>
    <row r="1447" spans="1:11" ht="1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</row>
    <row r="1448" spans="1:11" ht="15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</row>
    <row r="1449" spans="1:11" ht="1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</row>
    <row r="1450" spans="1:11" ht="1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</row>
    <row r="1451" spans="1:11" ht="15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</row>
    <row r="1452" spans="1:11" ht="1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</row>
    <row r="1453" spans="1:11" ht="15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</row>
    <row r="1454" spans="1:11" ht="1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</row>
    <row r="1455" spans="1:11" ht="1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</row>
    <row r="1456" spans="1:11" ht="15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</row>
    <row r="1457" spans="1:11" ht="15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</row>
    <row r="1458" spans="1:11" ht="1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</row>
    <row r="1459" spans="1:11" ht="1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</row>
    <row r="1460" spans="1:11" ht="1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</row>
    <row r="1461" spans="1:11" ht="15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</row>
    <row r="1462" spans="1:11" ht="15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</row>
    <row r="1463" spans="1:11" ht="1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</row>
    <row r="1464" spans="1:11" ht="15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</row>
    <row r="1465" spans="1:11" ht="15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</row>
    <row r="1466" spans="1:11" ht="15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</row>
    <row r="1467" spans="1:11" ht="15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</row>
    <row r="1468" spans="1:11" ht="15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</row>
    <row r="1469" spans="1:11" ht="15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</row>
    <row r="1470" spans="1:11" ht="15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</row>
    <row r="1471" spans="1:11" ht="15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</row>
    <row r="1472" spans="1:11" ht="15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</row>
    <row r="1473" spans="1:11" ht="15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</row>
    <row r="1474" spans="1:11" ht="15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</row>
    <row r="1475" spans="1:11" ht="15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</row>
    <row r="1476" spans="1:11" ht="15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</row>
    <row r="1477" spans="1:11" ht="15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</row>
    <row r="1478" spans="1:11" ht="15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</row>
    <row r="1479" spans="1:11" ht="15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</row>
    <row r="1480" spans="1:11" ht="15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</row>
    <row r="1481" spans="1:11" ht="15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</row>
    <row r="1482" spans="1:11" ht="15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</row>
    <row r="1483" spans="1:11" ht="15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</row>
    <row r="1484" spans="1:11" ht="15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</row>
    <row r="1485" spans="1:11" ht="15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</row>
    <row r="1486" spans="1:11" ht="15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</row>
    <row r="1487" spans="1:11" ht="15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</row>
    <row r="1488" spans="1:11" ht="15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</row>
    <row r="1489" spans="1:11" ht="15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</row>
    <row r="1490" spans="1:11" ht="15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</row>
    <row r="1491" spans="1:11" ht="15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</row>
    <row r="1492" spans="1:11" ht="15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</row>
    <row r="1493" spans="1:11" ht="15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</row>
    <row r="1494" spans="1:11" ht="15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</row>
    <row r="1495" spans="1:11" ht="15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</row>
    <row r="1496" spans="1:11" ht="15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</row>
    <row r="1497" spans="1:11" ht="1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</row>
    <row r="1498" spans="1:11" ht="1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</row>
    <row r="1499" spans="1:11" ht="15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</row>
    <row r="1500" spans="1:11" ht="15">
      <c r="A1500" s="1"/>
      <c r="B1500" s="1"/>
      <c r="C1500" s="1"/>
      <c r="D1500" s="1"/>
      <c r="E1500" s="1"/>
      <c r="F1500" s="1"/>
      <c r="G1500" s="1"/>
      <c r="H1500" s="1"/>
      <c r="I1500" s="1"/>
      <c r="J1500" s="1"/>
      <c r="K1500" s="1"/>
    </row>
    <row r="1501" spans="1:11" ht="15">
      <c r="A1501" s="1"/>
      <c r="B1501" s="1"/>
      <c r="C1501" s="1"/>
      <c r="D1501" s="1"/>
      <c r="E1501" s="1"/>
      <c r="F1501" s="1"/>
      <c r="G1501" s="1"/>
      <c r="H1501" s="1"/>
      <c r="I1501" s="1"/>
      <c r="J1501" s="1"/>
      <c r="K1501" s="1"/>
    </row>
    <row r="1502" spans="1:11" ht="15">
      <c r="A1502" s="1"/>
      <c r="B1502" s="1"/>
      <c r="C1502" s="1"/>
      <c r="D1502" s="1"/>
      <c r="E1502" s="1"/>
      <c r="F1502" s="1"/>
      <c r="G1502" s="1"/>
      <c r="H1502" s="1"/>
      <c r="I1502" s="1"/>
      <c r="J1502" s="1"/>
      <c r="K1502" s="1"/>
    </row>
    <row r="1503" spans="1:11" ht="15">
      <c r="A1503" s="1"/>
      <c r="B1503" s="1"/>
      <c r="C1503" s="1"/>
      <c r="D1503" s="1"/>
      <c r="E1503" s="1"/>
      <c r="F1503" s="1"/>
      <c r="G1503" s="1"/>
      <c r="H1503" s="1"/>
      <c r="I1503" s="1"/>
      <c r="J1503" s="1"/>
      <c r="K1503" s="1"/>
    </row>
    <row r="1504" spans="1:11" ht="15">
      <c r="A1504" s="1"/>
      <c r="B1504" s="1"/>
      <c r="C1504" s="1"/>
      <c r="D1504" s="1"/>
      <c r="E1504" s="1"/>
      <c r="F1504" s="1"/>
      <c r="G1504" s="1"/>
      <c r="H1504" s="1"/>
      <c r="I1504" s="1"/>
      <c r="J1504" s="1"/>
      <c r="K1504" s="1"/>
    </row>
    <row r="1505" spans="1:11" ht="15">
      <c r="A1505" s="1"/>
      <c r="B1505" s="1"/>
      <c r="C1505" s="1"/>
      <c r="D1505" s="1"/>
      <c r="E1505" s="1"/>
      <c r="F1505" s="1"/>
      <c r="G1505" s="1"/>
      <c r="H1505" s="1"/>
      <c r="I1505" s="1"/>
      <c r="J1505" s="1"/>
      <c r="K1505" s="1"/>
    </row>
    <row r="1506" spans="1:11" ht="15">
      <c r="A1506" s="1"/>
      <c r="B1506" s="1"/>
      <c r="C1506" s="1"/>
      <c r="D1506" s="1"/>
      <c r="E1506" s="1"/>
      <c r="F1506" s="1"/>
      <c r="G1506" s="1"/>
      <c r="H1506" s="1"/>
      <c r="I1506" s="1"/>
      <c r="J1506" s="1"/>
      <c r="K1506" s="1"/>
    </row>
    <row r="1507" spans="1:11" ht="15">
      <c r="A1507" s="1"/>
      <c r="B1507" s="1"/>
      <c r="C1507" s="1"/>
      <c r="D1507" s="1"/>
      <c r="E1507" s="1"/>
      <c r="F1507" s="1"/>
      <c r="G1507" s="1"/>
      <c r="H1507" s="1"/>
      <c r="I1507" s="1"/>
      <c r="J1507" s="1"/>
      <c r="K1507" s="1"/>
    </row>
    <row r="1508" spans="1:11" ht="15">
      <c r="A1508" s="1"/>
      <c r="B1508" s="1"/>
      <c r="C1508" s="1"/>
      <c r="D1508" s="1"/>
      <c r="E1508" s="1"/>
      <c r="F1508" s="1"/>
      <c r="G1508" s="1"/>
      <c r="H1508" s="1"/>
      <c r="I1508" s="1"/>
      <c r="J1508" s="1"/>
      <c r="K1508" s="1"/>
    </row>
    <row r="1509" spans="1:11" ht="15">
      <c r="A1509" s="1"/>
      <c r="B1509" s="1"/>
      <c r="C1509" s="1"/>
      <c r="D1509" s="1"/>
      <c r="E1509" s="1"/>
      <c r="F1509" s="1"/>
      <c r="G1509" s="1"/>
      <c r="H1509" s="1"/>
      <c r="I1509" s="1"/>
      <c r="J1509" s="1"/>
      <c r="K1509" s="1"/>
    </row>
    <row r="1510" spans="1:11" ht="15">
      <c r="A1510" s="1"/>
      <c r="B1510" s="1"/>
      <c r="C1510" s="1"/>
      <c r="D1510" s="1"/>
      <c r="E1510" s="1"/>
      <c r="F1510" s="1"/>
      <c r="G1510" s="1"/>
      <c r="H1510" s="1"/>
      <c r="I1510" s="1"/>
      <c r="J1510" s="1"/>
      <c r="K1510" s="1"/>
    </row>
    <row r="1511" spans="1:11" ht="15">
      <c r="A1511" s="1"/>
      <c r="B1511" s="1"/>
      <c r="C1511" s="1"/>
      <c r="D1511" s="1"/>
      <c r="E1511" s="1"/>
      <c r="F1511" s="1"/>
      <c r="G1511" s="1"/>
      <c r="H1511" s="1"/>
      <c r="I1511" s="1"/>
      <c r="J1511" s="1"/>
      <c r="K1511" s="1"/>
    </row>
    <row r="1512" spans="1:11" ht="15">
      <c r="A1512" s="1"/>
      <c r="B1512" s="1"/>
      <c r="C1512" s="1"/>
      <c r="D1512" s="1"/>
      <c r="E1512" s="1"/>
      <c r="F1512" s="1"/>
      <c r="G1512" s="1"/>
      <c r="H1512" s="1"/>
      <c r="I1512" s="1"/>
      <c r="J1512" s="1"/>
      <c r="K1512" s="1"/>
    </row>
    <row r="1513" spans="1:11" ht="15">
      <c r="A1513" s="1"/>
      <c r="B1513" s="1"/>
      <c r="C1513" s="1"/>
      <c r="D1513" s="1"/>
      <c r="E1513" s="1"/>
      <c r="F1513" s="1"/>
      <c r="G1513" s="1"/>
      <c r="H1513" s="1"/>
      <c r="I1513" s="1"/>
      <c r="J1513" s="1"/>
      <c r="K1513" s="1"/>
    </row>
    <row r="1514" spans="1:11" ht="15">
      <c r="A1514" s="1"/>
      <c r="B1514" s="1"/>
      <c r="C1514" s="1"/>
      <c r="D1514" s="1"/>
      <c r="E1514" s="1"/>
      <c r="F1514" s="1"/>
      <c r="G1514" s="1"/>
      <c r="H1514" s="1"/>
      <c r="I1514" s="1"/>
      <c r="J1514" s="1"/>
      <c r="K1514" s="1"/>
    </row>
    <row r="1515" spans="1:11" ht="15">
      <c r="A1515" s="1"/>
      <c r="B1515" s="1"/>
      <c r="C1515" s="1"/>
      <c r="D1515" s="1"/>
      <c r="E1515" s="1"/>
      <c r="F1515" s="1"/>
      <c r="G1515" s="1"/>
      <c r="H1515" s="1"/>
      <c r="I1515" s="1"/>
      <c r="J1515" s="1"/>
      <c r="K1515" s="1"/>
    </row>
    <row r="1516" spans="1:11" ht="15">
      <c r="A1516" s="1"/>
      <c r="B1516" s="1"/>
      <c r="C1516" s="1"/>
      <c r="D1516" s="1"/>
      <c r="E1516" s="1"/>
      <c r="F1516" s="1"/>
      <c r="G1516" s="1"/>
      <c r="H1516" s="1"/>
      <c r="I1516" s="1"/>
      <c r="J1516" s="1"/>
      <c r="K1516" s="1"/>
    </row>
    <row r="1517" spans="1:11" ht="15">
      <c r="A1517" s="1"/>
      <c r="B1517" s="1"/>
      <c r="C1517" s="1"/>
      <c r="D1517" s="1"/>
      <c r="E1517" s="1"/>
      <c r="F1517" s="1"/>
      <c r="G1517" s="1"/>
      <c r="H1517" s="1"/>
      <c r="I1517" s="1"/>
      <c r="J1517" s="1"/>
      <c r="K1517" s="1"/>
    </row>
    <row r="1518" spans="1:11" ht="15">
      <c r="A1518" s="1"/>
      <c r="B1518" s="1"/>
      <c r="C1518" s="1"/>
      <c r="D1518" s="1"/>
      <c r="E1518" s="1"/>
      <c r="F1518" s="1"/>
      <c r="G1518" s="1"/>
      <c r="H1518" s="1"/>
      <c r="I1518" s="1"/>
      <c r="J1518" s="1"/>
      <c r="K1518" s="1"/>
    </row>
    <row r="1519" spans="1:11" ht="15">
      <c r="A1519" s="1"/>
      <c r="B1519" s="1"/>
      <c r="C1519" s="1"/>
      <c r="D1519" s="1"/>
      <c r="E1519" s="1"/>
      <c r="F1519" s="1"/>
      <c r="G1519" s="1"/>
      <c r="H1519" s="1"/>
      <c r="I1519" s="1"/>
      <c r="J1519" s="1"/>
      <c r="K1519" s="1"/>
    </row>
    <row r="1520" spans="1:11" ht="15">
      <c r="A1520" s="1"/>
      <c r="B1520" s="1"/>
      <c r="C1520" s="1"/>
      <c r="D1520" s="1"/>
      <c r="E1520" s="1"/>
      <c r="F1520" s="1"/>
      <c r="G1520" s="1"/>
      <c r="H1520" s="1"/>
      <c r="I1520" s="1"/>
      <c r="J1520" s="1"/>
      <c r="K1520" s="1"/>
    </row>
    <row r="1521" spans="1:11" ht="15">
      <c r="A1521" s="1"/>
      <c r="B1521" s="1"/>
      <c r="C1521" s="1"/>
      <c r="D1521" s="1"/>
      <c r="E1521" s="1"/>
      <c r="F1521" s="1"/>
      <c r="G1521" s="1"/>
      <c r="H1521" s="1"/>
      <c r="I1521" s="1"/>
      <c r="J1521" s="1"/>
      <c r="K1521" s="1"/>
    </row>
    <row r="1522" spans="1:11" ht="15">
      <c r="A1522" s="1"/>
      <c r="B1522" s="1"/>
      <c r="C1522" s="1"/>
      <c r="D1522" s="1"/>
      <c r="E1522" s="1"/>
      <c r="F1522" s="1"/>
      <c r="G1522" s="1"/>
      <c r="H1522" s="1"/>
      <c r="I1522" s="1"/>
      <c r="J1522" s="1"/>
      <c r="K1522" s="1"/>
    </row>
    <row r="1523" spans="1:11" ht="15">
      <c r="A1523" s="1"/>
      <c r="B1523" s="1"/>
      <c r="C1523" s="1"/>
      <c r="D1523" s="1"/>
      <c r="E1523" s="1"/>
      <c r="F1523" s="1"/>
      <c r="G1523" s="1"/>
      <c r="H1523" s="1"/>
      <c r="I1523" s="1"/>
      <c r="J1523" s="1"/>
      <c r="K1523" s="1"/>
    </row>
    <row r="1524" spans="1:11" ht="15">
      <c r="A1524" s="1"/>
      <c r="B1524" s="1"/>
      <c r="C1524" s="1"/>
      <c r="D1524" s="1"/>
      <c r="E1524" s="1"/>
      <c r="F1524" s="1"/>
      <c r="G1524" s="1"/>
      <c r="H1524" s="1"/>
      <c r="I1524" s="1"/>
      <c r="J1524" s="1"/>
      <c r="K1524" s="1"/>
    </row>
    <row r="1525" spans="1:11" ht="15">
      <c r="A1525" s="1"/>
      <c r="B1525" s="1"/>
      <c r="C1525" s="1"/>
      <c r="D1525" s="1"/>
      <c r="E1525" s="1"/>
      <c r="F1525" s="1"/>
      <c r="G1525" s="1"/>
      <c r="H1525" s="1"/>
      <c r="I1525" s="1"/>
      <c r="J1525" s="1"/>
      <c r="K1525" s="1"/>
    </row>
    <row r="1526" spans="1:11" ht="15">
      <c r="A1526" s="1"/>
      <c r="B1526" s="1"/>
      <c r="C1526" s="1"/>
      <c r="D1526" s="1"/>
      <c r="E1526" s="1"/>
      <c r="F1526" s="1"/>
      <c r="G1526" s="1"/>
      <c r="H1526" s="1"/>
      <c r="I1526" s="1"/>
      <c r="J1526" s="1"/>
      <c r="K1526" s="1"/>
    </row>
    <row r="1527" spans="1:11" ht="15">
      <c r="A1527" s="1"/>
      <c r="B1527" s="1"/>
      <c r="C1527" s="1"/>
      <c r="D1527" s="1"/>
      <c r="E1527" s="1"/>
      <c r="F1527" s="1"/>
      <c r="G1527" s="1"/>
      <c r="H1527" s="1"/>
      <c r="I1527" s="1"/>
      <c r="J1527" s="1"/>
      <c r="K1527" s="1"/>
    </row>
    <row r="1528" spans="1:11" ht="15">
      <c r="A1528" s="1"/>
      <c r="B1528" s="1"/>
      <c r="C1528" s="1"/>
      <c r="D1528" s="1"/>
      <c r="E1528" s="1"/>
      <c r="F1528" s="1"/>
      <c r="G1528" s="1"/>
      <c r="H1528" s="1"/>
      <c r="I1528" s="1"/>
      <c r="J1528" s="1"/>
      <c r="K1528" s="1"/>
    </row>
    <row r="1529" spans="1:11" ht="15">
      <c r="A1529" s="1"/>
      <c r="B1529" s="1"/>
      <c r="C1529" s="1"/>
      <c r="D1529" s="1"/>
      <c r="E1529" s="1"/>
      <c r="F1529" s="1"/>
      <c r="G1529" s="1"/>
      <c r="H1529" s="1"/>
      <c r="I1529" s="1"/>
      <c r="J1529" s="1"/>
      <c r="K1529" s="1"/>
    </row>
    <row r="1530" spans="1:11" ht="15">
      <c r="A1530" s="1"/>
      <c r="B1530" s="1"/>
      <c r="C1530" s="1"/>
      <c r="D1530" s="1"/>
      <c r="E1530" s="1"/>
      <c r="F1530" s="1"/>
      <c r="G1530" s="1"/>
      <c r="H1530" s="1"/>
      <c r="I1530" s="1"/>
      <c r="J1530" s="1"/>
      <c r="K1530" s="1"/>
    </row>
    <row r="1531" spans="1:11" ht="15">
      <c r="A1531" s="1"/>
      <c r="B1531" s="1"/>
      <c r="C1531" s="1"/>
      <c r="D1531" s="1"/>
      <c r="E1531" s="1"/>
      <c r="F1531" s="1"/>
      <c r="G1531" s="1"/>
      <c r="H1531" s="1"/>
      <c r="I1531" s="1"/>
      <c r="J1531" s="1"/>
      <c r="K1531" s="1"/>
    </row>
    <row r="1532" spans="1:11" ht="15">
      <c r="A1532" s="1"/>
      <c r="B1532" s="1"/>
      <c r="C1532" s="1"/>
      <c r="D1532" s="1"/>
      <c r="E1532" s="1"/>
      <c r="F1532" s="1"/>
      <c r="G1532" s="1"/>
      <c r="H1532" s="1"/>
      <c r="I1532" s="1"/>
      <c r="J1532" s="1"/>
      <c r="K1532" s="1"/>
    </row>
    <row r="1533" spans="1:11" ht="15">
      <c r="A1533" s="1"/>
      <c r="B1533" s="1"/>
      <c r="C1533" s="1"/>
      <c r="D1533" s="1"/>
      <c r="E1533" s="1"/>
      <c r="F1533" s="1"/>
      <c r="G1533" s="1"/>
      <c r="H1533" s="1"/>
      <c r="I1533" s="1"/>
      <c r="J1533" s="1"/>
      <c r="K1533" s="1"/>
    </row>
    <row r="1534" spans="1:11" ht="15">
      <c r="A1534" s="1"/>
      <c r="B1534" s="1"/>
      <c r="C1534" s="1"/>
      <c r="D1534" s="1"/>
      <c r="E1534" s="1"/>
      <c r="F1534" s="1"/>
      <c r="G1534" s="1"/>
      <c r="H1534" s="1"/>
      <c r="I1534" s="1"/>
      <c r="J1534" s="1"/>
      <c r="K1534" s="1"/>
    </row>
    <row r="1535" spans="1:11" ht="15">
      <c r="A1535" s="1"/>
      <c r="B1535" s="1"/>
      <c r="C1535" s="1"/>
      <c r="D1535" s="1"/>
      <c r="E1535" s="1"/>
      <c r="F1535" s="1"/>
      <c r="G1535" s="1"/>
      <c r="H1535" s="1"/>
      <c r="I1535" s="1"/>
      <c r="J1535" s="1"/>
      <c r="K1535" s="1"/>
    </row>
    <row r="1536" spans="1:11" ht="15">
      <c r="A1536" s="1"/>
      <c r="B1536" s="1"/>
      <c r="C1536" s="1"/>
      <c r="D1536" s="1"/>
      <c r="E1536" s="1"/>
      <c r="F1536" s="1"/>
      <c r="G1536" s="1"/>
      <c r="H1536" s="1"/>
      <c r="I1536" s="1"/>
      <c r="J1536" s="1"/>
      <c r="K1536" s="1"/>
    </row>
    <row r="1537" spans="1:11" ht="15">
      <c r="A1537" s="1"/>
      <c r="B1537" s="1"/>
      <c r="C1537" s="1"/>
      <c r="D1537" s="1"/>
      <c r="E1537" s="1"/>
      <c r="F1537" s="1"/>
      <c r="G1537" s="1"/>
      <c r="H1537" s="1"/>
      <c r="I1537" s="1"/>
      <c r="J1537" s="1"/>
      <c r="K1537" s="1"/>
    </row>
    <row r="1538" spans="1:11" ht="15">
      <c r="A1538" s="1"/>
      <c r="B1538" s="1"/>
      <c r="C1538" s="1"/>
      <c r="D1538" s="1"/>
      <c r="E1538" s="1"/>
      <c r="F1538" s="1"/>
      <c r="G1538" s="1"/>
      <c r="H1538" s="1"/>
      <c r="I1538" s="1"/>
      <c r="J1538" s="1"/>
      <c r="K1538" s="1"/>
    </row>
    <row r="1539" spans="1:11" ht="15">
      <c r="A1539" s="1"/>
      <c r="B1539" s="1"/>
      <c r="C1539" s="1"/>
      <c r="D1539" s="1"/>
      <c r="E1539" s="1"/>
      <c r="F1539" s="1"/>
      <c r="G1539" s="1"/>
      <c r="H1539" s="1"/>
      <c r="I1539" s="1"/>
      <c r="J1539" s="1"/>
      <c r="K1539" s="1"/>
    </row>
    <row r="1540" spans="1:11" ht="15">
      <c r="A1540" s="1"/>
      <c r="B1540" s="1"/>
      <c r="C1540" s="1"/>
      <c r="D1540" s="1"/>
      <c r="E1540" s="1"/>
      <c r="F1540" s="1"/>
      <c r="G1540" s="1"/>
      <c r="H1540" s="1"/>
      <c r="I1540" s="1"/>
      <c r="J1540" s="1"/>
      <c r="K1540" s="1"/>
    </row>
    <row r="1541" spans="1:11" ht="15">
      <c r="A1541" s="1"/>
      <c r="B1541" s="1"/>
      <c r="C1541" s="1"/>
      <c r="D1541" s="1"/>
      <c r="E1541" s="1"/>
      <c r="F1541" s="1"/>
      <c r="G1541" s="1"/>
      <c r="H1541" s="1"/>
      <c r="I1541" s="1"/>
      <c r="J1541" s="1"/>
      <c r="K1541" s="1"/>
    </row>
    <row r="1542" spans="1:11" ht="15">
      <c r="A1542" s="1"/>
      <c r="B1542" s="1"/>
      <c r="C1542" s="1"/>
      <c r="D1542" s="1"/>
      <c r="E1542" s="1"/>
      <c r="F1542" s="1"/>
      <c r="G1542" s="1"/>
      <c r="H1542" s="1"/>
      <c r="I1542" s="1"/>
      <c r="J1542" s="1"/>
      <c r="K1542" s="1"/>
    </row>
    <row r="1543" spans="1:11" ht="15">
      <c r="A1543" s="1"/>
      <c r="B1543" s="1"/>
      <c r="C1543" s="1"/>
      <c r="D1543" s="1"/>
      <c r="E1543" s="1"/>
      <c r="F1543" s="1"/>
      <c r="G1543" s="1"/>
      <c r="H1543" s="1"/>
      <c r="I1543" s="1"/>
      <c r="J1543" s="1"/>
      <c r="K1543" s="1"/>
    </row>
    <row r="1544" spans="1:11" ht="15">
      <c r="A1544" s="1"/>
      <c r="B1544" s="1"/>
      <c r="C1544" s="1"/>
      <c r="D1544" s="1"/>
      <c r="E1544" s="1"/>
      <c r="F1544" s="1"/>
      <c r="G1544" s="1"/>
      <c r="H1544" s="1"/>
      <c r="I1544" s="1"/>
      <c r="J1544" s="1"/>
      <c r="K1544" s="1"/>
    </row>
    <row r="1545" spans="1:11" ht="15">
      <c r="A1545" s="1"/>
      <c r="B1545" s="1"/>
      <c r="C1545" s="1"/>
      <c r="D1545" s="1"/>
      <c r="E1545" s="1"/>
      <c r="F1545" s="1"/>
      <c r="G1545" s="1"/>
      <c r="H1545" s="1"/>
      <c r="I1545" s="1"/>
      <c r="J1545" s="1"/>
      <c r="K1545" s="1"/>
    </row>
    <row r="1546" spans="1:11" ht="15">
      <c r="A1546" s="1"/>
      <c r="B1546" s="1"/>
      <c r="C1546" s="1"/>
      <c r="D1546" s="1"/>
      <c r="E1546" s="1"/>
      <c r="F1546" s="1"/>
      <c r="G1546" s="1"/>
      <c r="H1546" s="1"/>
      <c r="I1546" s="1"/>
      <c r="J1546" s="1"/>
      <c r="K1546" s="1"/>
    </row>
    <row r="1547" spans="1:11" ht="15">
      <c r="A1547" s="1"/>
      <c r="B1547" s="1"/>
      <c r="C1547" s="1"/>
      <c r="D1547" s="1"/>
      <c r="E1547" s="1"/>
      <c r="F1547" s="1"/>
      <c r="G1547" s="1"/>
      <c r="H1547" s="1"/>
      <c r="I1547" s="1"/>
      <c r="J1547" s="1"/>
      <c r="K1547" s="1"/>
    </row>
    <row r="1548" spans="1:11" ht="15">
      <c r="A1548" s="1"/>
      <c r="B1548" s="1"/>
      <c r="C1548" s="1"/>
      <c r="D1548" s="1"/>
      <c r="E1548" s="1"/>
      <c r="F1548" s="1"/>
      <c r="G1548" s="1"/>
      <c r="H1548" s="1"/>
      <c r="I1548" s="1"/>
      <c r="J1548" s="1"/>
      <c r="K1548" s="1"/>
    </row>
    <row r="1549" spans="1:11" ht="15">
      <c r="A1549" s="1"/>
      <c r="B1549" s="1"/>
      <c r="C1549" s="1"/>
      <c r="D1549" s="1"/>
      <c r="E1549" s="1"/>
      <c r="F1549" s="1"/>
      <c r="G1549" s="1"/>
      <c r="H1549" s="1"/>
      <c r="I1549" s="1"/>
      <c r="J1549" s="1"/>
      <c r="K1549" s="1"/>
    </row>
    <row r="1550" spans="1:11" ht="15">
      <c r="A1550" s="1"/>
      <c r="B1550" s="1"/>
      <c r="C1550" s="1"/>
      <c r="D1550" s="1"/>
      <c r="E1550" s="1"/>
      <c r="F1550" s="1"/>
      <c r="G1550" s="1"/>
      <c r="H1550" s="1"/>
      <c r="I1550" s="1"/>
      <c r="J1550" s="1"/>
      <c r="K1550" s="1"/>
    </row>
    <row r="1551" spans="1:11" ht="15">
      <c r="A1551" s="1"/>
      <c r="B1551" s="1"/>
      <c r="C1551" s="1"/>
      <c r="D1551" s="1"/>
      <c r="E1551" s="1"/>
      <c r="F1551" s="1"/>
      <c r="G1551" s="1"/>
      <c r="H1551" s="1"/>
      <c r="I1551" s="1"/>
      <c r="J1551" s="1"/>
      <c r="K1551" s="1"/>
    </row>
    <row r="1552" spans="1:11" ht="15">
      <c r="A1552" s="1"/>
      <c r="B1552" s="1"/>
      <c r="C1552" s="1"/>
      <c r="D1552" s="1"/>
      <c r="E1552" s="1"/>
      <c r="F1552" s="1"/>
      <c r="G1552" s="1"/>
      <c r="H1552" s="1"/>
      <c r="I1552" s="1"/>
      <c r="J1552" s="1"/>
      <c r="K1552" s="1"/>
    </row>
    <row r="1553" spans="1:11" ht="15">
      <c r="A1553" s="1"/>
      <c r="B1553" s="1"/>
      <c r="C1553" s="1"/>
      <c r="D1553" s="1"/>
      <c r="E1553" s="1"/>
      <c r="F1553" s="1"/>
      <c r="G1553" s="1"/>
      <c r="H1553" s="1"/>
      <c r="I1553" s="1"/>
      <c r="J1553" s="1"/>
      <c r="K1553" s="1"/>
    </row>
    <row r="1554" spans="1:11" ht="15">
      <c r="A1554" s="1"/>
      <c r="B1554" s="1"/>
      <c r="C1554" s="1"/>
      <c r="D1554" s="1"/>
      <c r="E1554" s="1"/>
      <c r="F1554" s="1"/>
      <c r="G1554" s="1"/>
      <c r="H1554" s="1"/>
      <c r="I1554" s="1"/>
      <c r="J1554" s="1"/>
      <c r="K1554" s="1"/>
    </row>
    <row r="1555" spans="1:11" ht="15">
      <c r="A1555" s="1"/>
      <c r="B1555" s="1"/>
      <c r="C1555" s="1"/>
      <c r="D1555" s="1"/>
      <c r="E1555" s="1"/>
      <c r="F1555" s="1"/>
      <c r="G1555" s="1"/>
      <c r="H1555" s="1"/>
      <c r="I1555" s="1"/>
      <c r="J1555" s="1"/>
      <c r="K1555" s="1"/>
    </row>
    <row r="1556" spans="1:11" ht="15">
      <c r="A1556" s="1"/>
      <c r="B1556" s="1"/>
      <c r="C1556" s="1"/>
      <c r="D1556" s="1"/>
      <c r="E1556" s="1"/>
      <c r="F1556" s="1"/>
      <c r="G1556" s="1"/>
      <c r="H1556" s="1"/>
      <c r="I1556" s="1"/>
      <c r="J1556" s="1"/>
      <c r="K1556" s="1"/>
    </row>
    <row r="1557" spans="1:11" ht="15">
      <c r="A1557" s="1"/>
      <c r="B1557" s="1"/>
      <c r="C1557" s="1"/>
      <c r="D1557" s="1"/>
      <c r="E1557" s="1"/>
      <c r="F1557" s="1"/>
      <c r="G1557" s="1"/>
      <c r="H1557" s="1"/>
      <c r="I1557" s="1"/>
      <c r="J1557" s="1"/>
      <c r="K1557" s="1"/>
    </row>
    <row r="1558" spans="1:11" ht="15">
      <c r="A1558" s="1"/>
      <c r="B1558" s="1"/>
      <c r="C1558" s="1"/>
      <c r="D1558" s="1"/>
      <c r="E1558" s="1"/>
      <c r="F1558" s="1"/>
      <c r="G1558" s="1"/>
      <c r="H1558" s="1"/>
      <c r="I1558" s="1"/>
      <c r="J1558" s="1"/>
      <c r="K1558" s="1"/>
    </row>
    <row r="1559" spans="1:11" ht="15">
      <c r="A1559" s="1"/>
      <c r="B1559" s="1"/>
      <c r="C1559" s="1"/>
      <c r="D1559" s="1"/>
      <c r="E1559" s="1"/>
      <c r="F1559" s="1"/>
      <c r="G1559" s="1"/>
      <c r="H1559" s="1"/>
      <c r="I1559" s="1"/>
      <c r="J1559" s="1"/>
      <c r="K1559" s="1"/>
    </row>
    <row r="1560" spans="1:11" ht="15">
      <c r="A1560" s="1"/>
      <c r="B1560" s="1"/>
      <c r="C1560" s="1"/>
      <c r="D1560" s="1"/>
      <c r="E1560" s="1"/>
      <c r="F1560" s="1"/>
      <c r="G1560" s="1"/>
      <c r="H1560" s="1"/>
      <c r="I1560" s="1"/>
      <c r="J1560" s="1"/>
      <c r="K1560" s="1"/>
    </row>
    <row r="1561" spans="1:11" ht="15">
      <c r="A1561" s="1"/>
      <c r="B1561" s="1"/>
      <c r="C1561" s="1"/>
      <c r="D1561" s="1"/>
      <c r="E1561" s="1"/>
      <c r="F1561" s="1"/>
      <c r="G1561" s="1"/>
      <c r="H1561" s="1"/>
      <c r="I1561" s="1"/>
      <c r="J1561" s="1"/>
      <c r="K1561" s="1"/>
    </row>
    <row r="1562" spans="1:11" ht="15">
      <c r="A1562" s="1"/>
      <c r="B1562" s="1"/>
      <c r="C1562" s="1"/>
      <c r="D1562" s="1"/>
      <c r="E1562" s="1"/>
      <c r="F1562" s="1"/>
      <c r="G1562" s="1"/>
      <c r="H1562" s="1"/>
      <c r="I1562" s="1"/>
      <c r="J1562" s="1"/>
      <c r="K1562" s="1"/>
    </row>
    <row r="1563" spans="1:11" ht="15">
      <c r="A1563" s="1"/>
      <c r="B1563" s="1"/>
      <c r="C1563" s="1"/>
      <c r="D1563" s="1"/>
      <c r="E1563" s="1"/>
      <c r="F1563" s="1"/>
      <c r="G1563" s="1"/>
      <c r="H1563" s="1"/>
      <c r="I1563" s="1"/>
      <c r="J1563" s="1"/>
      <c r="K1563" s="1"/>
    </row>
    <row r="1564" spans="1:11" ht="15">
      <c r="A1564" s="1"/>
      <c r="B1564" s="1"/>
      <c r="C1564" s="1"/>
      <c r="D1564" s="1"/>
      <c r="E1564" s="1"/>
      <c r="F1564" s="1"/>
      <c r="G1564" s="1"/>
      <c r="H1564" s="1"/>
      <c r="I1564" s="1"/>
      <c r="J1564" s="1"/>
      <c r="K1564" s="1"/>
    </row>
    <row r="1565" spans="1:11" ht="15">
      <c r="A1565" s="1"/>
      <c r="B1565" s="1"/>
      <c r="C1565" s="1"/>
      <c r="D1565" s="1"/>
      <c r="E1565" s="1"/>
      <c r="F1565" s="1"/>
      <c r="G1565" s="1"/>
      <c r="H1565" s="1"/>
      <c r="I1565" s="1"/>
      <c r="J1565" s="1"/>
      <c r="K1565" s="1"/>
    </row>
    <row r="1566" spans="1:11" ht="15">
      <c r="A1566" s="1"/>
      <c r="B1566" s="1"/>
      <c r="C1566" s="1"/>
      <c r="D1566" s="1"/>
      <c r="E1566" s="1"/>
      <c r="F1566" s="1"/>
      <c r="G1566" s="1"/>
      <c r="H1566" s="1"/>
      <c r="I1566" s="1"/>
      <c r="J1566" s="1"/>
      <c r="K1566" s="1"/>
    </row>
    <row r="1567" spans="1:11" ht="15">
      <c r="A1567" s="1"/>
      <c r="B1567" s="1"/>
      <c r="C1567" s="1"/>
      <c r="D1567" s="1"/>
      <c r="E1567" s="1"/>
      <c r="F1567" s="1"/>
      <c r="G1567" s="1"/>
      <c r="H1567" s="1"/>
      <c r="I1567" s="1"/>
      <c r="J1567" s="1"/>
      <c r="K1567" s="1"/>
    </row>
    <row r="1568" spans="1:11" ht="15">
      <c r="A1568" s="1"/>
      <c r="B1568" s="1"/>
      <c r="C1568" s="1"/>
      <c r="D1568" s="1"/>
      <c r="E1568" s="1"/>
      <c r="F1568" s="1"/>
      <c r="G1568" s="1"/>
      <c r="H1568" s="1"/>
      <c r="I1568" s="1"/>
      <c r="J1568" s="1"/>
      <c r="K1568" s="1"/>
    </row>
    <row r="1569" spans="1:11" ht="15">
      <c r="A1569" s="1"/>
      <c r="B1569" s="1"/>
      <c r="C1569" s="1"/>
      <c r="D1569" s="1"/>
      <c r="E1569" s="1"/>
      <c r="F1569" s="1"/>
      <c r="G1569" s="1"/>
      <c r="H1569" s="1"/>
      <c r="I1569" s="1"/>
      <c r="J1569" s="1"/>
      <c r="K1569" s="1"/>
    </row>
    <row r="1570" spans="1:11" ht="15">
      <c r="A1570" s="1"/>
      <c r="B1570" s="1"/>
      <c r="C1570" s="1"/>
      <c r="D1570" s="1"/>
      <c r="E1570" s="1"/>
      <c r="F1570" s="1"/>
      <c r="G1570" s="1"/>
      <c r="H1570" s="1"/>
      <c r="I1570" s="1"/>
      <c r="J1570" s="1"/>
      <c r="K1570" s="1"/>
    </row>
    <row r="1571" spans="1:11" ht="15">
      <c r="A1571" s="1"/>
      <c r="B1571" s="1"/>
      <c r="C1571" s="1"/>
      <c r="D1571" s="1"/>
      <c r="E1571" s="1"/>
      <c r="F1571" s="1"/>
      <c r="G1571" s="1"/>
      <c r="H1571" s="1"/>
      <c r="I1571" s="1"/>
      <c r="J1571" s="1"/>
      <c r="K1571" s="1"/>
    </row>
    <row r="1572" spans="1:11" ht="15">
      <c r="A1572" s="1"/>
      <c r="B1572" s="1"/>
      <c r="C1572" s="1"/>
      <c r="D1572" s="1"/>
      <c r="E1572" s="1"/>
      <c r="F1572" s="1"/>
      <c r="G1572" s="1"/>
      <c r="H1572" s="1"/>
      <c r="I1572" s="1"/>
      <c r="J1572" s="1"/>
      <c r="K1572" s="1"/>
    </row>
    <row r="1573" spans="1:11" ht="15">
      <c r="A1573" s="1"/>
      <c r="B1573" s="1"/>
      <c r="C1573" s="1"/>
      <c r="D1573" s="1"/>
      <c r="E1573" s="1"/>
      <c r="F1573" s="1"/>
      <c r="G1573" s="1"/>
      <c r="H1573" s="1"/>
      <c r="I1573" s="1"/>
      <c r="J1573" s="1"/>
      <c r="K1573" s="1"/>
    </row>
    <row r="1574" spans="1:11" ht="15">
      <c r="A1574" s="1"/>
      <c r="B1574" s="1"/>
      <c r="C1574" s="1"/>
      <c r="D1574" s="1"/>
      <c r="E1574" s="1"/>
      <c r="F1574" s="1"/>
      <c r="G1574" s="1"/>
      <c r="H1574" s="1"/>
      <c r="I1574" s="1"/>
      <c r="J1574" s="1"/>
      <c r="K1574" s="1"/>
    </row>
    <row r="1575" spans="1:11" ht="15">
      <c r="A1575" s="1"/>
      <c r="B1575" s="1"/>
      <c r="C1575" s="1"/>
      <c r="D1575" s="1"/>
      <c r="E1575" s="1"/>
      <c r="F1575" s="1"/>
      <c r="G1575" s="1"/>
      <c r="H1575" s="1"/>
      <c r="I1575" s="1"/>
      <c r="J1575" s="1"/>
      <c r="K1575" s="1"/>
    </row>
    <row r="1576" spans="1:11" ht="15">
      <c r="A1576" s="1"/>
      <c r="B1576" s="1"/>
      <c r="C1576" s="1"/>
      <c r="D1576" s="1"/>
      <c r="E1576" s="1"/>
      <c r="F1576" s="1"/>
      <c r="G1576" s="1"/>
      <c r="H1576" s="1"/>
      <c r="I1576" s="1"/>
      <c r="J1576" s="1"/>
      <c r="K1576" s="1"/>
    </row>
    <row r="1577" spans="1:11" ht="15">
      <c r="A1577" s="1"/>
      <c r="B1577" s="1"/>
      <c r="C1577" s="1"/>
      <c r="D1577" s="1"/>
      <c r="E1577" s="1"/>
      <c r="F1577" s="1"/>
      <c r="G1577" s="1"/>
      <c r="H1577" s="1"/>
      <c r="I1577" s="1"/>
      <c r="J1577" s="1"/>
      <c r="K1577" s="1"/>
    </row>
    <row r="1578" spans="1:11" ht="15">
      <c r="A1578" s="1"/>
      <c r="B1578" s="1"/>
      <c r="C1578" s="1"/>
      <c r="D1578" s="1"/>
      <c r="E1578" s="1"/>
      <c r="F1578" s="1"/>
      <c r="G1578" s="1"/>
      <c r="H1578" s="1"/>
      <c r="I1578" s="1"/>
      <c r="J1578" s="1"/>
      <c r="K1578" s="1"/>
    </row>
    <row r="1579" spans="1:11" ht="15">
      <c r="A1579" s="1"/>
      <c r="B1579" s="1"/>
      <c r="C1579" s="1"/>
      <c r="D1579" s="1"/>
      <c r="E1579" s="1"/>
      <c r="F1579" s="1"/>
      <c r="G1579" s="1"/>
      <c r="H1579" s="1"/>
      <c r="I1579" s="1"/>
      <c r="J1579" s="1"/>
      <c r="K1579" s="1"/>
    </row>
    <row r="1580" spans="1:11" ht="15">
      <c r="A1580" s="1"/>
      <c r="B1580" s="1"/>
      <c r="C1580" s="1"/>
      <c r="D1580" s="1"/>
      <c r="E1580" s="1"/>
      <c r="F1580" s="1"/>
      <c r="G1580" s="1"/>
      <c r="H1580" s="1"/>
      <c r="I1580" s="1"/>
      <c r="J1580" s="1"/>
      <c r="K1580" s="1"/>
    </row>
    <row r="1581" spans="1:11" ht="15">
      <c r="A1581" s="1"/>
      <c r="B1581" s="1"/>
      <c r="C1581" s="1"/>
      <c r="D1581" s="1"/>
      <c r="E1581" s="1"/>
      <c r="F1581" s="1"/>
      <c r="G1581" s="1"/>
      <c r="H1581" s="1"/>
      <c r="I1581" s="1"/>
      <c r="J1581" s="1"/>
      <c r="K1581" s="1"/>
    </row>
    <row r="1582" spans="1:11" ht="15">
      <c r="A1582" s="1"/>
      <c r="B1582" s="1"/>
      <c r="C1582" s="1"/>
      <c r="D1582" s="1"/>
      <c r="E1582" s="1"/>
      <c r="F1582" s="1"/>
      <c r="G1582" s="1"/>
      <c r="H1582" s="1"/>
      <c r="I1582" s="1"/>
      <c r="J1582" s="1"/>
      <c r="K1582" s="1"/>
    </row>
    <row r="1583" spans="1:11" ht="15">
      <c r="A1583" s="1"/>
      <c r="B1583" s="1"/>
      <c r="C1583" s="1"/>
      <c r="D1583" s="1"/>
      <c r="E1583" s="1"/>
      <c r="F1583" s="1"/>
      <c r="G1583" s="1"/>
      <c r="H1583" s="1"/>
      <c r="I1583" s="1"/>
      <c r="J1583" s="1"/>
      <c r="K1583" s="1"/>
    </row>
    <row r="1584" spans="1:11" ht="15">
      <c r="A1584" s="1"/>
      <c r="B1584" s="1"/>
      <c r="C1584" s="1"/>
      <c r="D1584" s="1"/>
      <c r="E1584" s="1"/>
      <c r="F1584" s="1"/>
      <c r="G1584" s="1"/>
      <c r="H1584" s="1"/>
      <c r="I1584" s="1"/>
      <c r="J1584" s="1"/>
      <c r="K1584" s="1"/>
    </row>
    <row r="1585" spans="1:11" ht="15">
      <c r="A1585" s="1"/>
      <c r="B1585" s="1"/>
      <c r="C1585" s="1"/>
      <c r="D1585" s="1"/>
      <c r="E1585" s="1"/>
      <c r="F1585" s="1"/>
      <c r="G1585" s="1"/>
      <c r="H1585" s="1"/>
      <c r="I1585" s="1"/>
      <c r="J1585" s="1"/>
      <c r="K1585" s="1"/>
    </row>
    <row r="1586" spans="1:11" ht="15">
      <c r="A1586" s="1"/>
      <c r="B1586" s="1"/>
      <c r="C1586" s="1"/>
      <c r="D1586" s="1"/>
      <c r="E1586" s="1"/>
      <c r="F1586" s="1"/>
      <c r="G1586" s="1"/>
      <c r="H1586" s="1"/>
      <c r="I1586" s="1"/>
      <c r="J1586" s="1"/>
      <c r="K1586" s="1"/>
    </row>
    <row r="1587" spans="1:11" ht="15">
      <c r="A1587" s="1"/>
      <c r="B1587" s="1"/>
      <c r="C1587" s="1"/>
      <c r="D1587" s="1"/>
      <c r="E1587" s="1"/>
      <c r="F1587" s="1"/>
      <c r="G1587" s="1"/>
      <c r="H1587" s="1"/>
      <c r="I1587" s="1"/>
      <c r="J1587" s="1"/>
      <c r="K1587" s="1"/>
    </row>
    <row r="1588" spans="1:11" ht="15">
      <c r="A1588" s="1"/>
      <c r="B1588" s="1"/>
      <c r="C1588" s="1"/>
      <c r="D1588" s="1"/>
      <c r="E1588" s="1"/>
      <c r="F1588" s="1"/>
      <c r="G1588" s="1"/>
      <c r="H1588" s="1"/>
      <c r="I1588" s="1"/>
      <c r="J1588" s="1"/>
      <c r="K1588" s="1"/>
    </row>
    <row r="1589" spans="1:11" ht="15">
      <c r="A1589" s="1"/>
      <c r="B1589" s="1"/>
      <c r="C1589" s="1"/>
      <c r="D1589" s="1"/>
      <c r="E1589" s="1"/>
      <c r="F1589" s="1"/>
      <c r="G1589" s="1"/>
      <c r="H1589" s="1"/>
      <c r="I1589" s="1"/>
      <c r="J1589" s="1"/>
      <c r="K1589" s="1"/>
    </row>
    <row r="1590" spans="1:11" ht="15">
      <c r="A1590" s="1"/>
      <c r="B1590" s="1"/>
      <c r="C1590" s="1"/>
      <c r="D1590" s="1"/>
      <c r="E1590" s="1"/>
      <c r="F1590" s="1"/>
      <c r="G1590" s="1"/>
      <c r="H1590" s="1"/>
      <c r="I1590" s="1"/>
      <c r="J1590" s="1"/>
      <c r="K1590" s="1"/>
    </row>
    <row r="1591" spans="1:11" ht="15">
      <c r="A1591" s="1"/>
      <c r="B1591" s="1"/>
      <c r="C1591" s="1"/>
      <c r="D1591" s="1"/>
      <c r="E1591" s="1"/>
      <c r="F1591" s="1"/>
      <c r="G1591" s="1"/>
      <c r="H1591" s="1"/>
      <c r="I1591" s="1"/>
      <c r="J1591" s="1"/>
      <c r="K1591" s="1"/>
    </row>
    <row r="1592" spans="1:11" ht="15">
      <c r="A1592" s="1"/>
      <c r="B1592" s="1"/>
      <c r="C1592" s="1"/>
      <c r="D1592" s="1"/>
      <c r="E1592" s="1"/>
      <c r="F1592" s="1"/>
      <c r="G1592" s="1"/>
      <c r="H1592" s="1"/>
      <c r="I1592" s="1"/>
      <c r="J1592" s="1"/>
      <c r="K1592" s="1"/>
    </row>
    <row r="1593" spans="1:11" ht="15">
      <c r="A1593" s="1"/>
      <c r="B1593" s="1"/>
      <c r="C1593" s="1"/>
      <c r="D1593" s="1"/>
      <c r="E1593" s="1"/>
      <c r="F1593" s="1"/>
      <c r="G1593" s="1"/>
      <c r="H1593" s="1"/>
      <c r="I1593" s="1"/>
      <c r="J1593" s="1"/>
      <c r="K1593" s="1"/>
    </row>
    <row r="1594" spans="1:11" ht="15">
      <c r="A1594" s="1"/>
      <c r="B1594" s="1"/>
      <c r="C1594" s="1"/>
      <c r="D1594" s="1"/>
      <c r="E1594" s="1"/>
      <c r="F1594" s="1"/>
      <c r="G1594" s="1"/>
      <c r="H1594" s="1"/>
      <c r="I1594" s="1"/>
      <c r="J1594" s="1"/>
      <c r="K1594" s="1"/>
    </row>
    <row r="1595" spans="1:11" ht="15">
      <c r="A1595" s="1"/>
      <c r="B1595" s="1"/>
      <c r="C1595" s="1"/>
      <c r="D1595" s="1"/>
      <c r="E1595" s="1"/>
      <c r="F1595" s="1"/>
      <c r="G1595" s="1"/>
      <c r="H1595" s="1"/>
      <c r="I1595" s="1"/>
      <c r="J1595" s="1"/>
      <c r="K1595" s="1"/>
    </row>
    <row r="1596" spans="1:11" ht="15">
      <c r="A1596" s="1"/>
      <c r="B1596" s="1"/>
      <c r="C1596" s="1"/>
      <c r="D1596" s="1"/>
      <c r="E1596" s="1"/>
      <c r="F1596" s="1"/>
      <c r="G1596" s="1"/>
      <c r="H1596" s="1"/>
      <c r="I1596" s="1"/>
      <c r="J1596" s="1"/>
      <c r="K1596" s="1"/>
    </row>
    <row r="1597" spans="1:11" ht="15">
      <c r="A1597" s="1"/>
      <c r="B1597" s="1"/>
      <c r="C1597" s="1"/>
      <c r="D1597" s="1"/>
      <c r="E1597" s="1"/>
      <c r="F1597" s="1"/>
      <c r="G1597" s="1"/>
      <c r="H1597" s="1"/>
      <c r="I1597" s="1"/>
      <c r="J1597" s="1"/>
      <c r="K1597" s="1"/>
    </row>
    <row r="1598" spans="1:11" ht="15">
      <c r="A1598" s="1"/>
      <c r="B1598" s="1"/>
      <c r="C1598" s="1"/>
      <c r="D1598" s="1"/>
      <c r="E1598" s="1"/>
      <c r="F1598" s="1"/>
      <c r="G1598" s="1"/>
      <c r="H1598" s="1"/>
      <c r="I1598" s="1"/>
      <c r="J1598" s="1"/>
      <c r="K1598" s="1"/>
    </row>
    <row r="1599" spans="1:11" ht="15">
      <c r="A1599" s="1"/>
      <c r="B1599" s="1"/>
      <c r="C1599" s="1"/>
      <c r="D1599" s="1"/>
      <c r="E1599" s="1"/>
      <c r="F1599" s="1"/>
      <c r="G1599" s="1"/>
      <c r="H1599" s="1"/>
      <c r="I1599" s="1"/>
      <c r="J1599" s="1"/>
      <c r="K1599" s="1"/>
    </row>
    <row r="1600" spans="1:11" ht="15">
      <c r="A1600" s="1"/>
      <c r="B1600" s="1"/>
      <c r="C1600" s="1"/>
      <c r="D1600" s="1"/>
      <c r="E1600" s="1"/>
      <c r="F1600" s="1"/>
      <c r="G1600" s="1"/>
      <c r="H1600" s="1"/>
      <c r="I1600" s="1"/>
      <c r="J1600" s="1"/>
      <c r="K1600" s="1"/>
    </row>
    <row r="1601" spans="1:11" ht="15">
      <c r="A1601" s="1"/>
      <c r="B1601" s="1"/>
      <c r="C1601" s="1"/>
      <c r="D1601" s="1"/>
      <c r="E1601" s="1"/>
      <c r="F1601" s="1"/>
      <c r="G1601" s="1"/>
      <c r="H1601" s="1"/>
      <c r="I1601" s="1"/>
      <c r="J1601" s="1"/>
      <c r="K1601" s="1"/>
    </row>
    <row r="1602" spans="1:11" ht="15">
      <c r="A1602" s="1"/>
      <c r="B1602" s="1"/>
      <c r="C1602" s="1"/>
      <c r="D1602" s="1"/>
      <c r="E1602" s="1"/>
      <c r="F1602" s="1"/>
      <c r="G1602" s="1"/>
      <c r="H1602" s="1"/>
      <c r="I1602" s="1"/>
      <c r="J1602" s="1"/>
      <c r="K1602" s="1"/>
    </row>
    <row r="1603" spans="1:11" ht="15">
      <c r="A1603" s="1"/>
      <c r="B1603" s="1"/>
      <c r="C1603" s="1"/>
      <c r="D1603" s="1"/>
      <c r="E1603" s="1"/>
      <c r="F1603" s="1"/>
      <c r="G1603" s="1"/>
      <c r="H1603" s="1"/>
      <c r="I1603" s="1"/>
      <c r="J1603" s="1"/>
      <c r="K1603" s="1"/>
    </row>
    <row r="1604" spans="1:11" ht="15">
      <c r="A1604" s="1"/>
      <c r="B1604" s="1"/>
      <c r="C1604" s="1"/>
      <c r="D1604" s="1"/>
      <c r="E1604" s="1"/>
      <c r="F1604" s="1"/>
      <c r="G1604" s="1"/>
      <c r="H1604" s="1"/>
      <c r="I1604" s="1"/>
      <c r="J1604" s="1"/>
      <c r="K1604" s="1"/>
    </row>
    <row r="1605" spans="1:11" ht="15">
      <c r="A1605" s="1"/>
      <c r="B1605" s="1"/>
      <c r="C1605" s="1"/>
      <c r="D1605" s="1"/>
      <c r="E1605" s="1"/>
      <c r="F1605" s="1"/>
      <c r="G1605" s="1"/>
      <c r="H1605" s="1"/>
      <c r="I1605" s="1"/>
      <c r="J1605" s="1"/>
      <c r="K1605" s="1"/>
    </row>
    <row r="1606" spans="1:11" ht="15">
      <c r="A1606" s="1"/>
      <c r="B1606" s="1"/>
      <c r="C1606" s="1"/>
      <c r="D1606" s="1"/>
      <c r="E1606" s="1"/>
      <c r="F1606" s="1"/>
      <c r="G1606" s="1"/>
      <c r="H1606" s="1"/>
      <c r="I1606" s="1"/>
      <c r="J1606" s="1"/>
      <c r="K1606" s="1"/>
    </row>
    <row r="1607" spans="1:11" ht="15">
      <c r="A1607" s="1"/>
      <c r="B1607" s="1"/>
      <c r="C1607" s="1"/>
      <c r="D1607" s="1"/>
      <c r="E1607" s="1"/>
      <c r="F1607" s="1"/>
      <c r="G1607" s="1"/>
      <c r="H1607" s="1"/>
      <c r="I1607" s="1"/>
      <c r="J1607" s="1"/>
      <c r="K1607" s="1"/>
    </row>
    <row r="1608" spans="1:11" ht="15">
      <c r="A1608" s="1"/>
      <c r="B1608" s="1"/>
      <c r="C1608" s="1"/>
      <c r="D1608" s="1"/>
      <c r="E1608" s="1"/>
      <c r="F1608" s="1"/>
      <c r="G1608" s="1"/>
      <c r="H1608" s="1"/>
      <c r="I1608" s="1"/>
      <c r="J1608" s="1"/>
      <c r="K1608" s="1"/>
    </row>
    <row r="1609" spans="1:11" ht="15">
      <c r="A1609" s="1"/>
      <c r="B1609" s="1"/>
      <c r="C1609" s="1"/>
      <c r="D1609" s="1"/>
      <c r="E1609" s="1"/>
      <c r="F1609" s="1"/>
      <c r="G1609" s="1"/>
      <c r="H1609" s="1"/>
      <c r="I1609" s="1"/>
      <c r="J1609" s="1"/>
      <c r="K1609" s="1"/>
    </row>
    <row r="1610" spans="1:11" ht="15">
      <c r="A1610" s="1"/>
      <c r="B1610" s="1"/>
      <c r="C1610" s="1"/>
      <c r="D1610" s="1"/>
      <c r="E1610" s="1"/>
      <c r="F1610" s="1"/>
      <c r="G1610" s="1"/>
      <c r="H1610" s="1"/>
      <c r="I1610" s="1"/>
      <c r="J1610" s="1"/>
      <c r="K1610" s="1"/>
    </row>
    <row r="1611" spans="1:11" ht="15">
      <c r="A1611" s="1"/>
      <c r="B1611" s="1"/>
      <c r="C1611" s="1"/>
      <c r="D1611" s="1"/>
      <c r="E1611" s="1"/>
      <c r="F1611" s="1"/>
      <c r="G1611" s="1"/>
      <c r="H1611" s="1"/>
      <c r="I1611" s="1"/>
      <c r="J1611" s="1"/>
      <c r="K1611" s="1"/>
    </row>
    <row r="1612" spans="1:11" ht="15">
      <c r="A1612" s="1"/>
      <c r="B1612" s="1"/>
      <c r="C1612" s="1"/>
      <c r="D1612" s="1"/>
      <c r="E1612" s="1"/>
      <c r="F1612" s="1"/>
      <c r="G1612" s="1"/>
      <c r="H1612" s="1"/>
      <c r="I1612" s="1"/>
      <c r="J1612" s="1"/>
      <c r="K1612" s="1"/>
    </row>
    <row r="1613" spans="1:11" ht="15">
      <c r="A1613" s="1"/>
      <c r="B1613" s="1"/>
      <c r="C1613" s="1"/>
      <c r="D1613" s="1"/>
      <c r="E1613" s="1"/>
      <c r="F1613" s="1"/>
      <c r="G1613" s="1"/>
      <c r="H1613" s="1"/>
      <c r="I1613" s="1"/>
      <c r="J1613" s="1"/>
      <c r="K1613" s="1"/>
    </row>
    <row r="1614" spans="1:11" ht="15">
      <c r="A1614" s="1"/>
      <c r="B1614" s="1"/>
      <c r="C1614" s="1"/>
      <c r="D1614" s="1"/>
      <c r="E1614" s="1"/>
      <c r="F1614" s="1"/>
      <c r="G1614" s="1"/>
      <c r="H1614" s="1"/>
      <c r="I1614" s="1"/>
      <c r="J1614" s="1"/>
      <c r="K1614" s="1"/>
    </row>
    <row r="1615" spans="1:11" ht="15">
      <c r="A1615" s="1"/>
      <c r="B1615" s="1"/>
      <c r="C1615" s="1"/>
      <c r="D1615" s="1"/>
      <c r="E1615" s="1"/>
      <c r="F1615" s="1"/>
      <c r="G1615" s="1"/>
      <c r="H1615" s="1"/>
      <c r="I1615" s="1"/>
      <c r="J1615" s="1"/>
      <c r="K1615" s="1"/>
    </row>
    <row r="1616" spans="1:11" ht="15">
      <c r="A1616" s="1"/>
      <c r="B1616" s="1"/>
      <c r="C1616" s="1"/>
      <c r="D1616" s="1"/>
      <c r="E1616" s="1"/>
      <c r="F1616" s="1"/>
      <c r="G1616" s="1"/>
      <c r="H1616" s="1"/>
      <c r="I1616" s="1"/>
      <c r="J1616" s="1"/>
      <c r="K1616" s="1"/>
    </row>
    <row r="1617" spans="1:11" ht="15">
      <c r="A1617" s="1"/>
      <c r="B1617" s="1"/>
      <c r="C1617" s="1"/>
      <c r="D1617" s="1"/>
      <c r="E1617" s="1"/>
      <c r="F1617" s="1"/>
      <c r="G1617" s="1"/>
      <c r="H1617" s="1"/>
      <c r="I1617" s="1"/>
      <c r="J1617" s="1"/>
      <c r="K1617" s="1"/>
    </row>
    <row r="1618" spans="1:11" ht="15">
      <c r="A1618" s="1"/>
      <c r="B1618" s="1"/>
      <c r="C1618" s="1"/>
      <c r="D1618" s="1"/>
      <c r="E1618" s="1"/>
      <c r="F1618" s="1"/>
      <c r="G1618" s="1"/>
      <c r="H1618" s="1"/>
      <c r="I1618" s="1"/>
      <c r="J1618" s="1"/>
      <c r="K1618" s="1"/>
    </row>
    <row r="1619" spans="1:11" ht="15">
      <c r="A1619" s="1"/>
      <c r="B1619" s="1"/>
      <c r="C1619" s="1"/>
      <c r="D1619" s="1"/>
      <c r="E1619" s="1"/>
      <c r="F1619" s="1"/>
      <c r="G1619" s="1"/>
      <c r="H1619" s="1"/>
      <c r="I1619" s="1"/>
      <c r="J1619" s="1"/>
      <c r="K1619" s="1"/>
    </row>
    <row r="1620" spans="1:11" ht="15">
      <c r="A1620" s="1"/>
      <c r="B1620" s="1"/>
      <c r="C1620" s="1"/>
      <c r="D1620" s="1"/>
      <c r="E1620" s="1"/>
      <c r="F1620" s="1"/>
      <c r="G1620" s="1"/>
      <c r="H1620" s="1"/>
      <c r="I1620" s="1"/>
      <c r="J1620" s="1"/>
      <c r="K1620" s="1"/>
    </row>
    <row r="1621" spans="1:11" ht="15">
      <c r="A1621" s="1"/>
      <c r="B1621" s="1"/>
      <c r="C1621" s="1"/>
      <c r="D1621" s="1"/>
      <c r="E1621" s="1"/>
      <c r="F1621" s="1"/>
      <c r="G1621" s="1"/>
      <c r="H1621" s="1"/>
      <c r="I1621" s="1"/>
      <c r="J1621" s="1"/>
      <c r="K1621" s="1"/>
    </row>
    <row r="1622" spans="1:11" ht="15">
      <c r="A1622" s="1"/>
      <c r="B1622" s="1"/>
      <c r="C1622" s="1"/>
      <c r="D1622" s="1"/>
      <c r="E1622" s="1"/>
      <c r="F1622" s="1"/>
      <c r="G1622" s="1"/>
      <c r="H1622" s="1"/>
      <c r="I1622" s="1"/>
      <c r="J1622" s="1"/>
      <c r="K1622" s="1"/>
    </row>
    <row r="1623" spans="1:11" ht="15">
      <c r="A1623" s="1"/>
      <c r="B1623" s="1"/>
      <c r="C1623" s="1"/>
      <c r="D1623" s="1"/>
      <c r="E1623" s="1"/>
      <c r="F1623" s="1"/>
      <c r="G1623" s="1"/>
      <c r="H1623" s="1"/>
      <c r="I1623" s="1"/>
      <c r="J1623" s="1"/>
      <c r="K1623" s="1"/>
    </row>
    <row r="1624" spans="1:11" ht="15">
      <c r="A1624" s="1"/>
      <c r="B1624" s="1"/>
      <c r="C1624" s="1"/>
      <c r="D1624" s="1"/>
      <c r="E1624" s="1"/>
      <c r="F1624" s="1"/>
      <c r="G1624" s="1"/>
      <c r="H1624" s="1"/>
      <c r="I1624" s="1"/>
      <c r="J1624" s="1"/>
      <c r="K1624" s="1"/>
    </row>
    <row r="1625" spans="1:11" ht="15">
      <c r="A1625" s="1"/>
      <c r="B1625" s="1"/>
      <c r="C1625" s="1"/>
      <c r="D1625" s="1"/>
      <c r="E1625" s="1"/>
      <c r="F1625" s="1"/>
      <c r="G1625" s="1"/>
      <c r="H1625" s="1"/>
      <c r="I1625" s="1"/>
      <c r="J1625" s="1"/>
      <c r="K1625" s="1"/>
    </row>
    <row r="1626" spans="1:11" ht="15">
      <c r="A1626" s="1"/>
      <c r="B1626" s="1"/>
      <c r="C1626" s="1"/>
      <c r="D1626" s="1"/>
      <c r="E1626" s="1"/>
      <c r="F1626" s="1"/>
      <c r="G1626" s="1"/>
      <c r="H1626" s="1"/>
      <c r="I1626" s="1"/>
      <c r="J1626" s="1"/>
      <c r="K1626" s="1"/>
    </row>
    <row r="1627" spans="1:11" ht="15">
      <c r="A1627" s="1"/>
      <c r="B1627" s="1"/>
      <c r="C1627" s="1"/>
      <c r="D1627" s="1"/>
      <c r="E1627" s="1"/>
      <c r="F1627" s="1"/>
      <c r="G1627" s="1"/>
      <c r="H1627" s="1"/>
      <c r="I1627" s="1"/>
      <c r="J1627" s="1"/>
      <c r="K1627" s="1"/>
    </row>
    <row r="1628" spans="1:11" ht="15">
      <c r="A1628" s="1"/>
      <c r="B1628" s="1"/>
      <c r="C1628" s="1"/>
      <c r="D1628" s="1"/>
      <c r="E1628" s="1"/>
      <c r="F1628" s="1"/>
      <c r="G1628" s="1"/>
      <c r="H1628" s="1"/>
      <c r="I1628" s="1"/>
      <c r="J1628" s="1"/>
      <c r="K1628" s="1"/>
    </row>
    <row r="1629" spans="1:11" ht="15">
      <c r="A1629" s="1"/>
      <c r="B1629" s="1"/>
      <c r="C1629" s="1"/>
      <c r="D1629" s="1"/>
      <c r="E1629" s="1"/>
      <c r="F1629" s="1"/>
      <c r="G1629" s="1"/>
      <c r="H1629" s="1"/>
      <c r="I1629" s="1"/>
      <c r="J1629" s="1"/>
      <c r="K1629" s="1"/>
    </row>
    <row r="1630" spans="1:11" ht="15">
      <c r="A1630" s="1"/>
      <c r="B1630" s="1"/>
      <c r="C1630" s="1"/>
      <c r="D1630" s="1"/>
      <c r="E1630" s="1"/>
      <c r="F1630" s="1"/>
      <c r="G1630" s="1"/>
      <c r="H1630" s="1"/>
      <c r="I1630" s="1"/>
      <c r="J1630" s="1"/>
      <c r="K1630" s="1"/>
    </row>
    <row r="1631" spans="1:11" ht="15">
      <c r="A1631" s="1"/>
      <c r="B1631" s="1"/>
      <c r="C1631" s="1"/>
      <c r="D1631" s="1"/>
      <c r="E1631" s="1"/>
      <c r="F1631" s="1"/>
      <c r="G1631" s="1"/>
      <c r="H1631" s="1"/>
      <c r="I1631" s="1"/>
      <c r="J1631" s="1"/>
      <c r="K1631" s="1"/>
    </row>
    <row r="1632" spans="1:11" ht="15">
      <c r="A1632" s="1"/>
      <c r="B1632" s="1"/>
      <c r="C1632" s="1"/>
      <c r="D1632" s="1"/>
      <c r="E1632" s="1"/>
      <c r="F1632" s="1"/>
      <c r="G1632" s="1"/>
      <c r="H1632" s="1"/>
      <c r="I1632" s="1"/>
      <c r="J1632" s="1"/>
      <c r="K1632" s="1"/>
    </row>
    <row r="1633" spans="1:11" ht="15">
      <c r="A1633" s="1"/>
      <c r="B1633" s="1"/>
      <c r="C1633" s="1"/>
      <c r="D1633" s="1"/>
      <c r="E1633" s="1"/>
      <c r="F1633" s="1"/>
      <c r="G1633" s="1"/>
      <c r="H1633" s="1"/>
      <c r="I1633" s="1"/>
      <c r="J1633" s="1"/>
      <c r="K1633" s="1"/>
    </row>
    <row r="1634" spans="1:11" ht="15">
      <c r="A1634" s="1"/>
      <c r="B1634" s="1"/>
      <c r="C1634" s="1"/>
      <c r="D1634" s="1"/>
      <c r="E1634" s="1"/>
      <c r="F1634" s="1"/>
      <c r="G1634" s="1"/>
      <c r="H1634" s="1"/>
      <c r="I1634" s="1"/>
      <c r="J1634" s="1"/>
      <c r="K1634" s="1"/>
    </row>
    <row r="1635" spans="1:11" ht="15">
      <c r="A1635" s="1"/>
      <c r="B1635" s="1"/>
      <c r="C1635" s="1"/>
      <c r="D1635" s="1"/>
      <c r="E1635" s="1"/>
      <c r="F1635" s="1"/>
      <c r="G1635" s="1"/>
      <c r="H1635" s="1"/>
      <c r="I1635" s="1"/>
      <c r="J1635" s="1"/>
      <c r="K1635" s="1"/>
    </row>
    <row r="1636" spans="1:11" ht="15">
      <c r="A1636" s="1"/>
      <c r="B1636" s="1"/>
      <c r="C1636" s="1"/>
      <c r="D1636" s="1"/>
      <c r="E1636" s="1"/>
      <c r="F1636" s="1"/>
      <c r="G1636" s="1"/>
      <c r="H1636" s="1"/>
      <c r="I1636" s="1"/>
      <c r="J1636" s="1"/>
      <c r="K1636" s="1"/>
    </row>
    <row r="1637" spans="1:11" ht="15">
      <c r="A1637" s="1"/>
      <c r="B1637" s="1"/>
      <c r="C1637" s="1"/>
      <c r="D1637" s="1"/>
      <c r="E1637" s="1"/>
      <c r="F1637" s="1"/>
      <c r="G1637" s="1"/>
      <c r="H1637" s="1"/>
      <c r="I1637" s="1"/>
      <c r="J1637" s="1"/>
      <c r="K1637" s="1"/>
    </row>
    <row r="1638" spans="1:11" ht="15">
      <c r="A1638" s="1"/>
      <c r="B1638" s="1"/>
      <c r="C1638" s="1"/>
      <c r="D1638" s="1"/>
      <c r="E1638" s="1"/>
      <c r="F1638" s="1"/>
      <c r="G1638" s="1"/>
      <c r="H1638" s="1"/>
      <c r="I1638" s="1"/>
      <c r="J1638" s="1"/>
      <c r="K1638" s="1"/>
    </row>
    <row r="1639" spans="1:11" ht="15">
      <c r="A1639" s="1"/>
      <c r="B1639" s="1"/>
      <c r="C1639" s="1"/>
      <c r="D1639" s="1"/>
      <c r="E1639" s="1"/>
      <c r="F1639" s="1"/>
      <c r="G1639" s="1"/>
      <c r="H1639" s="1"/>
      <c r="I1639" s="1"/>
      <c r="J1639" s="1"/>
      <c r="K1639" s="1"/>
    </row>
    <row r="1640" spans="1:11" ht="15">
      <c r="A1640" s="1"/>
      <c r="B1640" s="1"/>
      <c r="C1640" s="1"/>
      <c r="D1640" s="1"/>
      <c r="E1640" s="1"/>
      <c r="F1640" s="1"/>
      <c r="G1640" s="1"/>
      <c r="H1640" s="1"/>
      <c r="I1640" s="1"/>
      <c r="J1640" s="1"/>
      <c r="K1640" s="1"/>
    </row>
    <row r="1641" spans="1:11" ht="15">
      <c r="A1641" s="1"/>
      <c r="B1641" s="1"/>
      <c r="C1641" s="1"/>
      <c r="D1641" s="1"/>
      <c r="E1641" s="1"/>
      <c r="F1641" s="1"/>
      <c r="G1641" s="1"/>
      <c r="H1641" s="1"/>
      <c r="I1641" s="1"/>
      <c r="J1641" s="1"/>
      <c r="K1641" s="1"/>
    </row>
    <row r="1642" spans="1:11" ht="15">
      <c r="A1642" s="1"/>
      <c r="B1642" s="1"/>
      <c r="C1642" s="1"/>
      <c r="D1642" s="1"/>
      <c r="E1642" s="1"/>
      <c r="F1642" s="1"/>
      <c r="G1642" s="1"/>
      <c r="H1642" s="1"/>
      <c r="I1642" s="1"/>
      <c r="J1642" s="1"/>
      <c r="K1642" s="1"/>
    </row>
    <row r="1643" spans="1:11" ht="15">
      <c r="A1643" s="1"/>
      <c r="B1643" s="1"/>
      <c r="C1643" s="1"/>
      <c r="D1643" s="1"/>
      <c r="E1643" s="1"/>
      <c r="F1643" s="1"/>
      <c r="G1643" s="1"/>
      <c r="H1643" s="1"/>
      <c r="I1643" s="1"/>
      <c r="J1643" s="1"/>
      <c r="K1643" s="1"/>
    </row>
    <row r="1644" spans="1:11" ht="15">
      <c r="A1644" s="1"/>
      <c r="B1644" s="1"/>
      <c r="C1644" s="1"/>
      <c r="D1644" s="1"/>
      <c r="E1644" s="1"/>
      <c r="F1644" s="1"/>
      <c r="G1644" s="1"/>
      <c r="H1644" s="1"/>
      <c r="I1644" s="1"/>
      <c r="J1644" s="1"/>
      <c r="K1644" s="1"/>
    </row>
    <row r="1645" spans="1:11" ht="15">
      <c r="A1645" s="1"/>
      <c r="B1645" s="1"/>
      <c r="C1645" s="1"/>
      <c r="D1645" s="1"/>
      <c r="E1645" s="1"/>
      <c r="F1645" s="1"/>
      <c r="G1645" s="1"/>
      <c r="H1645" s="1"/>
      <c r="I1645" s="1"/>
      <c r="J1645" s="1"/>
      <c r="K1645" s="1"/>
    </row>
    <row r="1646" spans="1:11" ht="15">
      <c r="A1646" s="1"/>
      <c r="B1646" s="1"/>
      <c r="C1646" s="1"/>
      <c r="D1646" s="1"/>
      <c r="E1646" s="1"/>
      <c r="F1646" s="1"/>
      <c r="G1646" s="1"/>
      <c r="H1646" s="1"/>
      <c r="I1646" s="1"/>
      <c r="J1646" s="1"/>
      <c r="K1646" s="1"/>
    </row>
    <row r="1647" spans="1:11" ht="15">
      <c r="A1647" s="1"/>
      <c r="B1647" s="1"/>
      <c r="C1647" s="1"/>
      <c r="D1647" s="1"/>
      <c r="E1647" s="1"/>
      <c r="F1647" s="1"/>
      <c r="G1647" s="1"/>
      <c r="H1647" s="1"/>
      <c r="I1647" s="1"/>
      <c r="J1647" s="1"/>
      <c r="K1647" s="1"/>
    </row>
    <row r="1648" spans="1:11" ht="15">
      <c r="A1648" s="1"/>
      <c r="B1648" s="1"/>
      <c r="C1648" s="1"/>
      <c r="D1648" s="1"/>
      <c r="E1648" s="1"/>
      <c r="F1648" s="1"/>
      <c r="G1648" s="1"/>
      <c r="H1648" s="1"/>
      <c r="I1648" s="1"/>
      <c r="J1648" s="1"/>
      <c r="K1648" s="1"/>
    </row>
    <row r="1649" spans="1:11" ht="15">
      <c r="A1649" s="1"/>
      <c r="B1649" s="1"/>
      <c r="C1649" s="1"/>
      <c r="D1649" s="1"/>
      <c r="E1649" s="1"/>
      <c r="F1649" s="1"/>
      <c r="G1649" s="1"/>
      <c r="H1649" s="1"/>
      <c r="I1649" s="1"/>
      <c r="J1649" s="1"/>
      <c r="K1649" s="1"/>
    </row>
    <row r="1650" spans="1:11" ht="15">
      <c r="A1650" s="1"/>
      <c r="B1650" s="1"/>
      <c r="C1650" s="1"/>
      <c r="D1650" s="1"/>
      <c r="E1650" s="1"/>
      <c r="F1650" s="1"/>
      <c r="G1650" s="1"/>
      <c r="H1650" s="1"/>
      <c r="I1650" s="1"/>
      <c r="J1650" s="1"/>
      <c r="K1650" s="1"/>
    </row>
    <row r="1651" spans="1:11" ht="15">
      <c r="A1651" s="1"/>
      <c r="B1651" s="1"/>
      <c r="C1651" s="1"/>
      <c r="D1651" s="1"/>
      <c r="E1651" s="1"/>
      <c r="F1651" s="1"/>
      <c r="G1651" s="1"/>
      <c r="H1651" s="1"/>
      <c r="I1651" s="1"/>
      <c r="J1651" s="1"/>
      <c r="K1651" s="1"/>
    </row>
    <row r="1652" spans="1:11" ht="15">
      <c r="A1652" s="1"/>
      <c r="B1652" s="1"/>
      <c r="C1652" s="1"/>
      <c r="D1652" s="1"/>
      <c r="E1652" s="1"/>
      <c r="F1652" s="1"/>
      <c r="G1652" s="1"/>
      <c r="H1652" s="1"/>
      <c r="I1652" s="1"/>
      <c r="J1652" s="1"/>
      <c r="K1652" s="1"/>
    </row>
    <row r="1653" spans="1:11" ht="15">
      <c r="A1653" s="1"/>
      <c r="B1653" s="1"/>
      <c r="C1653" s="1"/>
      <c r="D1653" s="1"/>
      <c r="E1653" s="1"/>
      <c r="F1653" s="1"/>
      <c r="G1653" s="1"/>
      <c r="H1653" s="1"/>
      <c r="I1653" s="1"/>
      <c r="J1653" s="1"/>
      <c r="K1653" s="1"/>
    </row>
    <row r="1654" spans="1:11" ht="15">
      <c r="A1654" s="1"/>
      <c r="B1654" s="1"/>
      <c r="C1654" s="1"/>
      <c r="D1654" s="1"/>
      <c r="E1654" s="1"/>
      <c r="F1654" s="1"/>
      <c r="G1654" s="1"/>
      <c r="H1654" s="1"/>
      <c r="I1654" s="1"/>
      <c r="J1654" s="1"/>
      <c r="K1654" s="1"/>
    </row>
    <row r="1655" spans="1:11" ht="15">
      <c r="A1655" s="1"/>
      <c r="B1655" s="1"/>
      <c r="C1655" s="1"/>
      <c r="D1655" s="1"/>
      <c r="E1655" s="1"/>
      <c r="F1655" s="1"/>
      <c r="G1655" s="1"/>
      <c r="H1655" s="1"/>
      <c r="I1655" s="1"/>
      <c r="J1655" s="1"/>
      <c r="K1655" s="1"/>
    </row>
    <row r="1656" spans="1:11" ht="15">
      <c r="A1656" s="1"/>
      <c r="B1656" s="1"/>
      <c r="C1656" s="1"/>
      <c r="D1656" s="1"/>
      <c r="E1656" s="1"/>
      <c r="F1656" s="1"/>
      <c r="G1656" s="1"/>
      <c r="H1656" s="1"/>
      <c r="I1656" s="1"/>
      <c r="J1656" s="1"/>
      <c r="K1656" s="1"/>
    </row>
    <row r="1657" spans="1:11" ht="15">
      <c r="A1657" s="1"/>
      <c r="B1657" s="1"/>
      <c r="C1657" s="1"/>
      <c r="D1657" s="1"/>
      <c r="E1657" s="1"/>
      <c r="F1657" s="1"/>
      <c r="G1657" s="1"/>
      <c r="H1657" s="1"/>
      <c r="I1657" s="1"/>
      <c r="J1657" s="1"/>
      <c r="K1657" s="1"/>
    </row>
    <row r="1658" spans="1:11" ht="15">
      <c r="A1658" s="1"/>
      <c r="B1658" s="1"/>
      <c r="C1658" s="1"/>
      <c r="D1658" s="1"/>
      <c r="E1658" s="1"/>
      <c r="F1658" s="1"/>
      <c r="G1658" s="1"/>
      <c r="H1658" s="1"/>
      <c r="I1658" s="1"/>
      <c r="J1658" s="1"/>
      <c r="K1658" s="1"/>
    </row>
    <row r="1659" spans="1:11" ht="15">
      <c r="A1659" s="1"/>
      <c r="B1659" s="1"/>
      <c r="C1659" s="1"/>
      <c r="D1659" s="1"/>
      <c r="E1659" s="1"/>
      <c r="F1659" s="1"/>
      <c r="G1659" s="1"/>
      <c r="H1659" s="1"/>
      <c r="I1659" s="1"/>
      <c r="J1659" s="1"/>
      <c r="K1659" s="1"/>
    </row>
    <row r="1660" spans="1:11" ht="15">
      <c r="A1660" s="1"/>
      <c r="B1660" s="1"/>
      <c r="C1660" s="1"/>
      <c r="D1660" s="1"/>
      <c r="E1660" s="1"/>
      <c r="F1660" s="1"/>
      <c r="G1660" s="1"/>
      <c r="H1660" s="1"/>
      <c r="I1660" s="1"/>
      <c r="J1660" s="1"/>
      <c r="K1660" s="1"/>
    </row>
    <row r="1661" spans="1:11" ht="15">
      <c r="A1661" s="1"/>
      <c r="B1661" s="1"/>
      <c r="C1661" s="1"/>
      <c r="D1661" s="1"/>
      <c r="E1661" s="1"/>
      <c r="F1661" s="1"/>
      <c r="G1661" s="1"/>
      <c r="H1661" s="1"/>
      <c r="I1661" s="1"/>
      <c r="J1661" s="1"/>
      <c r="K1661" s="1"/>
    </row>
    <row r="1662" spans="1:11" ht="15">
      <c r="A1662" s="1"/>
      <c r="B1662" s="1"/>
      <c r="C1662" s="1"/>
      <c r="D1662" s="1"/>
      <c r="E1662" s="1"/>
      <c r="F1662" s="1"/>
      <c r="G1662" s="1"/>
      <c r="H1662" s="1"/>
      <c r="I1662" s="1"/>
      <c r="J1662" s="1"/>
      <c r="K1662" s="1"/>
    </row>
    <row r="1663" spans="1:11" ht="15">
      <c r="A1663" s="1"/>
      <c r="B1663" s="1"/>
      <c r="C1663" s="1"/>
      <c r="D1663" s="1"/>
      <c r="E1663" s="1"/>
      <c r="F1663" s="1"/>
      <c r="G1663" s="1"/>
      <c r="H1663" s="1"/>
      <c r="I1663" s="1"/>
      <c r="J1663" s="1"/>
      <c r="K1663" s="1"/>
    </row>
    <row r="1664" spans="1:11" ht="15">
      <c r="A1664" s="1"/>
      <c r="B1664" s="1"/>
      <c r="C1664" s="1"/>
      <c r="D1664" s="1"/>
      <c r="E1664" s="1"/>
      <c r="F1664" s="1"/>
      <c r="G1664" s="1"/>
      <c r="H1664" s="1"/>
      <c r="I1664" s="1"/>
      <c r="J1664" s="1"/>
      <c r="K1664" s="1"/>
    </row>
    <row r="1665" spans="1:11" ht="15">
      <c r="A1665" s="1"/>
      <c r="B1665" s="1"/>
      <c r="C1665" s="1"/>
      <c r="D1665" s="1"/>
      <c r="E1665" s="1"/>
      <c r="F1665" s="1"/>
      <c r="G1665" s="1"/>
      <c r="H1665" s="1"/>
      <c r="I1665" s="1"/>
      <c r="J1665" s="1"/>
      <c r="K1665" s="1"/>
    </row>
    <row r="1666" spans="1:11" ht="15">
      <c r="A1666" s="1"/>
      <c r="B1666" s="1"/>
      <c r="C1666" s="1"/>
      <c r="D1666" s="1"/>
      <c r="E1666" s="1"/>
      <c r="F1666" s="1"/>
      <c r="G1666" s="1"/>
      <c r="H1666" s="1"/>
      <c r="I1666" s="1"/>
      <c r="J1666" s="1"/>
      <c r="K1666" s="1"/>
    </row>
    <row r="1667" spans="1:11" ht="15">
      <c r="A1667" s="1"/>
      <c r="B1667" s="1"/>
      <c r="C1667" s="1"/>
      <c r="D1667" s="1"/>
      <c r="E1667" s="1"/>
      <c r="F1667" s="1"/>
      <c r="G1667" s="1"/>
      <c r="H1667" s="1"/>
      <c r="I1667" s="1"/>
      <c r="J1667" s="1"/>
      <c r="K1667" s="1"/>
    </row>
    <row r="1668" spans="1:11" ht="15">
      <c r="A1668" s="1"/>
      <c r="B1668" s="1"/>
      <c r="C1668" s="1"/>
      <c r="D1668" s="1"/>
      <c r="E1668" s="1"/>
      <c r="F1668" s="1"/>
      <c r="G1668" s="1"/>
      <c r="H1668" s="1"/>
      <c r="I1668" s="1"/>
      <c r="J1668" s="1"/>
      <c r="K1668" s="1"/>
    </row>
    <row r="1669" spans="1:11" ht="15">
      <c r="A1669" s="1"/>
      <c r="B1669" s="1"/>
      <c r="C1669" s="1"/>
      <c r="D1669" s="1"/>
      <c r="E1669" s="1"/>
      <c r="F1669" s="1"/>
      <c r="G1669" s="1"/>
      <c r="H1669" s="1"/>
      <c r="I1669" s="1"/>
      <c r="J1669" s="1"/>
      <c r="K1669" s="1"/>
    </row>
    <row r="1670" spans="1:11" ht="15">
      <c r="A1670" s="1"/>
      <c r="B1670" s="1"/>
      <c r="C1670" s="1"/>
      <c r="D1670" s="1"/>
      <c r="E1670" s="1"/>
      <c r="F1670" s="1"/>
      <c r="G1670" s="1"/>
      <c r="H1670" s="1"/>
      <c r="I1670" s="1"/>
      <c r="J1670" s="1"/>
      <c r="K1670" s="1"/>
    </row>
    <row r="1671" spans="1:11" ht="15">
      <c r="A1671" s="1"/>
      <c r="B1671" s="1"/>
      <c r="C1671" s="1"/>
      <c r="D1671" s="1"/>
      <c r="E1671" s="1"/>
      <c r="F1671" s="1"/>
      <c r="G1671" s="1"/>
      <c r="H1671" s="1"/>
      <c r="I1671" s="1"/>
      <c r="J1671" s="1"/>
      <c r="K1671" s="1"/>
    </row>
    <row r="1672" spans="1:11" ht="15">
      <c r="A1672" s="1"/>
      <c r="B1672" s="1"/>
      <c r="C1672" s="1"/>
      <c r="D1672" s="1"/>
      <c r="E1672" s="1"/>
      <c r="F1672" s="1"/>
      <c r="G1672" s="1"/>
      <c r="H1672" s="1"/>
      <c r="I1672" s="1"/>
      <c r="J1672" s="1"/>
      <c r="K1672" s="1"/>
    </row>
    <row r="1673" spans="1:11" ht="15">
      <c r="A1673" s="1"/>
      <c r="B1673" s="1"/>
      <c r="C1673" s="1"/>
      <c r="D1673" s="1"/>
      <c r="E1673" s="1"/>
      <c r="F1673" s="1"/>
      <c r="G1673" s="1"/>
      <c r="H1673" s="1"/>
      <c r="I1673" s="1"/>
      <c r="J1673" s="1"/>
      <c r="K1673" s="1"/>
    </row>
    <row r="1674" spans="1:11" ht="15">
      <c r="A1674" s="1"/>
      <c r="B1674" s="1"/>
      <c r="C1674" s="1"/>
      <c r="D1674" s="1"/>
      <c r="E1674" s="1"/>
      <c r="F1674" s="1"/>
      <c r="G1674" s="1"/>
      <c r="H1674" s="1"/>
      <c r="I1674" s="1"/>
      <c r="J1674" s="1"/>
      <c r="K1674" s="1"/>
    </row>
    <row r="1675" spans="1:11" ht="15">
      <c r="A1675" s="1"/>
      <c r="B1675" s="1"/>
      <c r="C1675" s="1"/>
      <c r="D1675" s="1"/>
      <c r="E1675" s="1"/>
      <c r="F1675" s="1"/>
      <c r="G1675" s="1"/>
      <c r="H1675" s="1"/>
      <c r="I1675" s="1"/>
      <c r="J1675" s="1"/>
      <c r="K1675" s="1"/>
    </row>
    <row r="1676" spans="1:11" ht="15">
      <c r="A1676" s="1"/>
      <c r="B1676" s="1"/>
      <c r="C1676" s="1"/>
      <c r="D1676" s="1"/>
      <c r="E1676" s="1"/>
      <c r="F1676" s="1"/>
      <c r="G1676" s="1"/>
      <c r="H1676" s="1"/>
      <c r="I1676" s="1"/>
      <c r="J1676" s="1"/>
      <c r="K1676" s="1"/>
    </row>
    <row r="1677" spans="1:11" ht="15">
      <c r="A1677" s="1"/>
      <c r="B1677" s="1"/>
      <c r="C1677" s="1"/>
      <c r="D1677" s="1"/>
      <c r="E1677" s="1"/>
      <c r="F1677" s="1"/>
      <c r="G1677" s="1"/>
      <c r="H1677" s="1"/>
      <c r="I1677" s="1"/>
      <c r="J1677" s="1"/>
      <c r="K1677" s="1"/>
    </row>
    <row r="1678" spans="1:11" ht="15">
      <c r="A1678" s="1"/>
      <c r="B1678" s="1"/>
      <c r="C1678" s="1"/>
      <c r="D1678" s="1"/>
      <c r="E1678" s="1"/>
      <c r="F1678" s="1"/>
      <c r="G1678" s="1"/>
      <c r="H1678" s="1"/>
      <c r="I1678" s="1"/>
      <c r="J1678" s="1"/>
      <c r="K1678" s="1"/>
    </row>
    <row r="1679" spans="1:11" ht="15">
      <c r="A1679" s="1"/>
      <c r="B1679" s="1"/>
      <c r="C1679" s="1"/>
      <c r="D1679" s="1"/>
      <c r="E1679" s="1"/>
      <c r="F1679" s="1"/>
      <c r="G1679" s="1"/>
      <c r="H1679" s="1"/>
      <c r="I1679" s="1"/>
      <c r="J1679" s="1"/>
      <c r="K1679" s="1"/>
    </row>
    <row r="1680" spans="1:11" ht="15">
      <c r="A1680" s="1"/>
      <c r="B1680" s="1"/>
      <c r="C1680" s="1"/>
      <c r="D1680" s="1"/>
      <c r="E1680" s="1"/>
      <c r="F1680" s="1"/>
      <c r="G1680" s="1"/>
      <c r="H1680" s="1"/>
      <c r="I1680" s="1"/>
      <c r="J1680" s="1"/>
      <c r="K1680" s="1"/>
    </row>
    <row r="1681" spans="1:11" ht="15">
      <c r="A1681" s="1"/>
      <c r="B1681" s="1"/>
      <c r="C1681" s="1"/>
      <c r="D1681" s="1"/>
      <c r="E1681" s="1"/>
      <c r="F1681" s="1"/>
      <c r="G1681" s="1"/>
      <c r="H1681" s="1"/>
      <c r="I1681" s="1"/>
      <c r="J1681" s="1"/>
      <c r="K1681" s="1"/>
    </row>
    <row r="1682" spans="1:11" ht="15">
      <c r="A1682" s="1"/>
      <c r="B1682" s="1"/>
      <c r="C1682" s="1"/>
      <c r="D1682" s="1"/>
      <c r="E1682" s="1"/>
      <c r="F1682" s="1"/>
      <c r="G1682" s="1"/>
      <c r="H1682" s="1"/>
      <c r="I1682" s="1"/>
      <c r="J1682" s="1"/>
      <c r="K1682" s="1"/>
    </row>
    <row r="1683" spans="1:11" ht="15">
      <c r="A1683" s="1"/>
      <c r="B1683" s="1"/>
      <c r="C1683" s="1"/>
      <c r="D1683" s="1"/>
      <c r="E1683" s="1"/>
      <c r="F1683" s="1"/>
      <c r="G1683" s="1"/>
      <c r="H1683" s="1"/>
      <c r="I1683" s="1"/>
      <c r="J1683" s="1"/>
      <c r="K1683" s="1"/>
    </row>
    <row r="1684" spans="1:11" ht="15">
      <c r="A1684" s="1"/>
      <c r="B1684" s="1"/>
      <c r="C1684" s="1"/>
      <c r="D1684" s="1"/>
      <c r="E1684" s="1"/>
      <c r="F1684" s="1"/>
      <c r="G1684" s="1"/>
      <c r="H1684" s="1"/>
      <c r="I1684" s="1"/>
      <c r="J1684" s="1"/>
      <c r="K1684" s="1"/>
    </row>
    <row r="1685" spans="1:11" ht="15">
      <c r="A1685" s="1"/>
      <c r="B1685" s="1"/>
      <c r="C1685" s="1"/>
      <c r="D1685" s="1"/>
      <c r="E1685" s="1"/>
      <c r="F1685" s="1"/>
      <c r="G1685" s="1"/>
      <c r="H1685" s="1"/>
      <c r="I1685" s="1"/>
      <c r="J1685" s="1"/>
      <c r="K1685" s="1"/>
    </row>
    <row r="1686" spans="1:11" ht="15">
      <c r="A1686" s="1"/>
      <c r="B1686" s="1"/>
      <c r="C1686" s="1"/>
      <c r="D1686" s="1"/>
      <c r="E1686" s="1"/>
      <c r="F1686" s="1"/>
      <c r="G1686" s="1"/>
      <c r="H1686" s="1"/>
      <c r="I1686" s="1"/>
      <c r="J1686" s="1"/>
      <c r="K1686" s="1"/>
    </row>
    <row r="1687" spans="1:11" ht="15">
      <c r="A1687" s="1"/>
      <c r="B1687" s="1"/>
      <c r="C1687" s="1"/>
      <c r="D1687" s="1"/>
      <c r="E1687" s="1"/>
      <c r="F1687" s="1"/>
      <c r="G1687" s="1"/>
      <c r="H1687" s="1"/>
      <c r="I1687" s="1"/>
      <c r="J1687" s="1"/>
      <c r="K1687" s="1"/>
    </row>
    <row r="1688" spans="1:11" ht="15">
      <c r="A1688" s="1"/>
      <c r="B1688" s="1"/>
      <c r="C1688" s="1"/>
      <c r="D1688" s="1"/>
      <c r="E1688" s="1"/>
      <c r="F1688" s="1"/>
      <c r="G1688" s="1"/>
      <c r="H1688" s="1"/>
      <c r="I1688" s="1"/>
      <c r="J1688" s="1"/>
      <c r="K1688" s="1"/>
    </row>
    <row r="1689" spans="1:11" ht="15">
      <c r="A1689" s="1"/>
      <c r="B1689" s="1"/>
      <c r="C1689" s="1"/>
      <c r="D1689" s="1"/>
      <c r="E1689" s="1"/>
      <c r="F1689" s="1"/>
      <c r="G1689" s="1"/>
      <c r="H1689" s="1"/>
      <c r="I1689" s="1"/>
      <c r="J1689" s="1"/>
      <c r="K1689" s="1"/>
    </row>
    <row r="1690" spans="1:11" ht="15">
      <c r="A1690" s="1"/>
      <c r="B1690" s="1"/>
      <c r="C1690" s="1"/>
      <c r="D1690" s="1"/>
      <c r="E1690" s="1"/>
      <c r="F1690" s="1"/>
      <c r="G1690" s="1"/>
      <c r="H1690" s="1"/>
      <c r="I1690" s="1"/>
      <c r="J1690" s="1"/>
      <c r="K1690" s="1"/>
    </row>
    <row r="1691" spans="1:11" ht="15">
      <c r="A1691" s="1"/>
      <c r="B1691" s="1"/>
      <c r="C1691" s="1"/>
      <c r="D1691" s="1"/>
      <c r="E1691" s="1"/>
      <c r="F1691" s="1"/>
      <c r="G1691" s="1"/>
      <c r="H1691" s="1"/>
      <c r="I1691" s="1"/>
      <c r="J1691" s="1"/>
      <c r="K1691" s="1"/>
    </row>
    <row r="1692" spans="1:11" ht="15">
      <c r="A1692" s="1"/>
      <c r="B1692" s="1"/>
      <c r="C1692" s="1"/>
      <c r="D1692" s="1"/>
      <c r="E1692" s="1"/>
      <c r="F1692" s="1"/>
      <c r="G1692" s="1"/>
      <c r="H1692" s="1"/>
      <c r="I1692" s="1"/>
      <c r="J1692" s="1"/>
      <c r="K1692" s="1"/>
    </row>
    <row r="1693" spans="1:11" ht="15">
      <c r="A1693" s="1"/>
      <c r="B1693" s="1"/>
      <c r="C1693" s="1"/>
      <c r="D1693" s="1"/>
      <c r="E1693" s="1"/>
      <c r="F1693" s="1"/>
      <c r="G1693" s="1"/>
      <c r="H1693" s="1"/>
      <c r="I1693" s="1"/>
      <c r="J1693" s="1"/>
      <c r="K1693" s="1"/>
    </row>
    <row r="1694" spans="1:11" ht="15">
      <c r="A1694" s="1"/>
      <c r="B1694" s="1"/>
      <c r="C1694" s="1"/>
      <c r="D1694" s="1"/>
      <c r="E1694" s="1"/>
      <c r="F1694" s="1"/>
      <c r="G1694" s="1"/>
      <c r="H1694" s="1"/>
      <c r="I1694" s="1"/>
      <c r="J1694" s="1"/>
      <c r="K1694" s="1"/>
    </row>
    <row r="1695" spans="1:11" ht="15">
      <c r="A1695" s="1"/>
      <c r="B1695" s="1"/>
      <c r="C1695" s="1"/>
      <c r="D1695" s="1"/>
      <c r="E1695" s="1"/>
      <c r="F1695" s="1"/>
      <c r="G1695" s="1"/>
      <c r="H1695" s="1"/>
      <c r="I1695" s="1"/>
      <c r="J1695" s="1"/>
      <c r="K1695" s="1"/>
    </row>
    <row r="1696" spans="1:11" ht="15">
      <c r="A1696" s="1"/>
      <c r="B1696" s="1"/>
      <c r="C1696" s="1"/>
      <c r="D1696" s="1"/>
      <c r="E1696" s="1"/>
      <c r="F1696" s="1"/>
      <c r="G1696" s="1"/>
      <c r="H1696" s="1"/>
      <c r="I1696" s="1"/>
      <c r="J1696" s="1"/>
      <c r="K1696" s="1"/>
    </row>
    <row r="1697" spans="1:11" ht="15">
      <c r="A1697" s="1"/>
      <c r="B1697" s="1"/>
      <c r="C1697" s="1"/>
      <c r="D1697" s="1"/>
      <c r="E1697" s="1"/>
      <c r="F1697" s="1"/>
      <c r="G1697" s="1"/>
      <c r="H1697" s="1"/>
      <c r="I1697" s="1"/>
      <c r="J1697" s="1"/>
      <c r="K1697" s="1"/>
    </row>
    <row r="1698" spans="1:11" ht="15">
      <c r="A1698" s="1"/>
      <c r="B1698" s="1"/>
      <c r="C1698" s="1"/>
      <c r="D1698" s="1"/>
      <c r="E1698" s="1"/>
      <c r="F1698" s="1"/>
      <c r="G1698" s="1"/>
      <c r="H1698" s="1"/>
      <c r="I1698" s="1"/>
      <c r="J1698" s="1"/>
      <c r="K1698" s="1"/>
    </row>
    <row r="1699" spans="1:11" ht="15">
      <c r="A1699" s="1"/>
      <c r="B1699" s="1"/>
      <c r="C1699" s="1"/>
      <c r="D1699" s="1"/>
      <c r="E1699" s="1"/>
      <c r="F1699" s="1"/>
      <c r="G1699" s="1"/>
      <c r="H1699" s="1"/>
      <c r="I1699" s="1"/>
      <c r="J1699" s="1"/>
      <c r="K1699" s="1"/>
    </row>
    <row r="1700" spans="1:11" ht="15">
      <c r="A1700" s="1"/>
      <c r="B1700" s="1"/>
      <c r="C1700" s="1"/>
      <c r="D1700" s="1"/>
      <c r="E1700" s="1"/>
      <c r="F1700" s="1"/>
      <c r="G1700" s="1"/>
      <c r="H1700" s="1"/>
      <c r="I1700" s="1"/>
      <c r="J1700" s="1"/>
      <c r="K1700" s="1"/>
    </row>
    <row r="1701" spans="1:11" ht="15">
      <c r="A1701" s="1"/>
      <c r="B1701" s="1"/>
      <c r="C1701" s="1"/>
      <c r="D1701" s="1"/>
      <c r="E1701" s="1"/>
      <c r="F1701" s="1"/>
      <c r="G1701" s="1"/>
      <c r="H1701" s="1"/>
      <c r="I1701" s="1"/>
      <c r="J1701" s="1"/>
      <c r="K1701" s="1"/>
    </row>
    <row r="1702" spans="1:11" ht="15">
      <c r="A1702" s="1"/>
      <c r="B1702" s="1"/>
      <c r="C1702" s="1"/>
      <c r="D1702" s="1"/>
      <c r="E1702" s="1"/>
      <c r="F1702" s="1"/>
      <c r="G1702" s="1"/>
      <c r="H1702" s="1"/>
      <c r="I1702" s="1"/>
      <c r="J1702" s="1"/>
      <c r="K1702" s="1"/>
    </row>
    <row r="1703" spans="1:11" ht="15">
      <c r="A1703" s="1"/>
      <c r="B1703" s="1"/>
      <c r="C1703" s="1"/>
      <c r="D1703" s="1"/>
      <c r="E1703" s="1"/>
      <c r="F1703" s="1"/>
      <c r="G1703" s="1"/>
      <c r="H1703" s="1"/>
      <c r="I1703" s="1"/>
      <c r="J1703" s="1"/>
      <c r="K1703" s="1"/>
    </row>
    <row r="1704" spans="1:11" ht="15">
      <c r="A1704" s="1"/>
      <c r="B1704" s="1"/>
      <c r="C1704" s="1"/>
      <c r="D1704" s="1"/>
      <c r="E1704" s="1"/>
      <c r="F1704" s="1"/>
      <c r="G1704" s="1"/>
      <c r="H1704" s="1"/>
      <c r="I1704" s="1"/>
      <c r="J1704" s="1"/>
      <c r="K1704" s="1"/>
    </row>
    <row r="1705" spans="1:11" ht="15">
      <c r="A1705" s="1"/>
      <c r="B1705" s="1"/>
      <c r="C1705" s="1"/>
      <c r="D1705" s="1"/>
      <c r="E1705" s="1"/>
      <c r="F1705" s="1"/>
      <c r="G1705" s="1"/>
      <c r="H1705" s="1"/>
      <c r="I1705" s="1"/>
      <c r="J1705" s="1"/>
      <c r="K1705" s="1"/>
    </row>
    <row r="1706" spans="1:11" ht="15">
      <c r="A1706" s="1"/>
      <c r="B1706" s="1"/>
      <c r="C1706" s="1"/>
      <c r="D1706" s="1"/>
      <c r="E1706" s="1"/>
      <c r="F1706" s="1"/>
      <c r="G1706" s="1"/>
      <c r="H1706" s="1"/>
      <c r="I1706" s="1"/>
      <c r="J1706" s="1"/>
      <c r="K1706" s="1"/>
    </row>
    <row r="1707" spans="1:11" ht="15">
      <c r="A1707" s="1"/>
      <c r="B1707" s="1"/>
      <c r="C1707" s="1"/>
      <c r="D1707" s="1"/>
      <c r="E1707" s="1"/>
      <c r="F1707" s="1"/>
      <c r="G1707" s="1"/>
      <c r="H1707" s="1"/>
      <c r="I1707" s="1"/>
      <c r="J1707" s="1"/>
      <c r="K1707" s="1"/>
    </row>
    <row r="1708" spans="1:11" ht="15">
      <c r="A1708" s="1"/>
      <c r="B1708" s="1"/>
      <c r="C1708" s="1"/>
      <c r="D1708" s="1"/>
      <c r="E1708" s="1"/>
      <c r="F1708" s="1"/>
      <c r="G1708" s="1"/>
      <c r="H1708" s="1"/>
      <c r="I1708" s="1"/>
      <c r="J1708" s="1"/>
      <c r="K1708" s="1"/>
    </row>
    <row r="1709" spans="1:11" ht="15">
      <c r="A1709" s="1"/>
      <c r="B1709" s="1"/>
      <c r="C1709" s="1"/>
      <c r="D1709" s="1"/>
      <c r="E1709" s="1"/>
      <c r="F1709" s="1"/>
      <c r="G1709" s="1"/>
      <c r="H1709" s="1"/>
      <c r="I1709" s="1"/>
      <c r="J1709" s="1"/>
      <c r="K1709" s="1"/>
    </row>
    <row r="1710" spans="1:11" ht="15">
      <c r="A1710" s="1"/>
      <c r="B1710" s="1"/>
      <c r="C1710" s="1"/>
      <c r="D1710" s="1"/>
      <c r="E1710" s="1"/>
      <c r="F1710" s="1"/>
      <c r="G1710" s="1"/>
      <c r="H1710" s="1"/>
      <c r="I1710" s="1"/>
      <c r="J1710" s="1"/>
      <c r="K1710" s="1"/>
    </row>
    <row r="1711" spans="1:11" ht="15">
      <c r="A1711" s="1"/>
      <c r="B1711" s="1"/>
      <c r="C1711" s="1"/>
      <c r="D1711" s="1"/>
      <c r="E1711" s="1"/>
      <c r="F1711" s="1"/>
      <c r="G1711" s="1"/>
      <c r="H1711" s="1"/>
      <c r="I1711" s="1"/>
      <c r="J1711" s="1"/>
      <c r="K1711" s="1"/>
    </row>
    <row r="1712" spans="1:11" ht="15">
      <c r="A1712" s="1"/>
      <c r="B1712" s="1"/>
      <c r="C1712" s="1"/>
      <c r="D1712" s="1"/>
      <c r="E1712" s="1"/>
      <c r="F1712" s="1"/>
      <c r="G1712" s="1"/>
      <c r="H1712" s="1"/>
      <c r="I1712" s="1"/>
      <c r="J1712" s="1"/>
      <c r="K1712" s="1"/>
    </row>
    <row r="1713" spans="1:11" ht="15">
      <c r="A1713" s="1"/>
      <c r="B1713" s="1"/>
      <c r="C1713" s="1"/>
      <c r="D1713" s="1"/>
      <c r="E1713" s="1"/>
      <c r="F1713" s="1"/>
      <c r="G1713" s="1"/>
      <c r="H1713" s="1"/>
      <c r="I1713" s="1"/>
      <c r="J1713" s="1"/>
      <c r="K1713" s="1"/>
    </row>
    <row r="1714" spans="1:11" ht="15">
      <c r="A1714" s="1"/>
      <c r="B1714" s="1"/>
      <c r="C1714" s="1"/>
      <c r="D1714" s="1"/>
      <c r="E1714" s="1"/>
      <c r="F1714" s="1"/>
      <c r="G1714" s="1"/>
      <c r="H1714" s="1"/>
      <c r="I1714" s="1"/>
      <c r="J1714" s="1"/>
      <c r="K1714" s="1"/>
    </row>
    <row r="1715" spans="1:11" ht="15">
      <c r="A1715" s="1"/>
      <c r="B1715" s="1"/>
      <c r="C1715" s="1"/>
      <c r="D1715" s="1"/>
      <c r="E1715" s="1"/>
      <c r="F1715" s="1"/>
      <c r="G1715" s="1"/>
      <c r="H1715" s="1"/>
      <c r="I1715" s="1"/>
      <c r="J1715" s="1"/>
      <c r="K1715" s="1"/>
    </row>
    <row r="1716" spans="1:11" ht="15">
      <c r="A1716" s="1"/>
      <c r="B1716" s="1"/>
      <c r="C1716" s="1"/>
      <c r="D1716" s="1"/>
      <c r="E1716" s="1"/>
      <c r="F1716" s="1"/>
      <c r="G1716" s="1"/>
      <c r="H1716" s="1"/>
      <c r="I1716" s="1"/>
      <c r="J1716" s="1"/>
      <c r="K1716" s="1"/>
    </row>
    <row r="1717" spans="1:11" ht="15">
      <c r="A1717" s="1"/>
      <c r="B1717" s="1"/>
      <c r="C1717" s="1"/>
      <c r="D1717" s="1"/>
      <c r="E1717" s="1"/>
      <c r="F1717" s="1"/>
      <c r="G1717" s="1"/>
      <c r="H1717" s="1"/>
      <c r="I1717" s="1"/>
      <c r="J1717" s="1"/>
      <c r="K1717" s="1"/>
    </row>
    <row r="1718" spans="1:11" ht="15">
      <c r="A1718" s="1"/>
      <c r="B1718" s="1"/>
      <c r="C1718" s="1"/>
      <c r="D1718" s="1"/>
      <c r="E1718" s="1"/>
      <c r="F1718" s="1"/>
      <c r="G1718" s="1"/>
      <c r="H1718" s="1"/>
      <c r="I1718" s="1"/>
      <c r="J1718" s="1"/>
      <c r="K1718" s="1"/>
    </row>
    <row r="1719" spans="1:11" ht="15">
      <c r="A1719" s="1"/>
      <c r="B1719" s="1"/>
      <c r="C1719" s="1"/>
      <c r="D1719" s="1"/>
      <c r="E1719" s="1"/>
      <c r="F1719" s="1"/>
      <c r="G1719" s="1"/>
      <c r="H1719" s="1"/>
      <c r="I1719" s="1"/>
      <c r="J1719" s="1"/>
      <c r="K1719" s="1"/>
    </row>
    <row r="1720" spans="1:11" ht="15">
      <c r="A1720" s="1"/>
      <c r="B1720" s="1"/>
      <c r="C1720" s="1"/>
      <c r="D1720" s="1"/>
      <c r="E1720" s="1"/>
      <c r="F1720" s="1"/>
      <c r="G1720" s="1"/>
      <c r="H1720" s="1"/>
      <c r="I1720" s="1"/>
      <c r="J1720" s="1"/>
      <c r="K1720" s="1"/>
    </row>
    <row r="1721" spans="1:11" ht="15">
      <c r="A1721" s="1"/>
      <c r="B1721" s="1"/>
      <c r="C1721" s="1"/>
      <c r="D1721" s="1"/>
      <c r="E1721" s="1"/>
      <c r="F1721" s="1"/>
      <c r="G1721" s="1"/>
      <c r="H1721" s="1"/>
      <c r="I1721" s="1"/>
      <c r="J1721" s="1"/>
      <c r="K1721" s="1"/>
    </row>
    <row r="1722" spans="1:11" ht="15">
      <c r="A1722" s="1"/>
      <c r="B1722" s="1"/>
      <c r="C1722" s="1"/>
      <c r="D1722" s="1"/>
      <c r="E1722" s="1"/>
      <c r="F1722" s="1"/>
      <c r="G1722" s="1"/>
      <c r="H1722" s="1"/>
      <c r="I1722" s="1"/>
      <c r="J1722" s="1"/>
      <c r="K1722" s="1"/>
    </row>
    <row r="1723" spans="1:11" ht="15">
      <c r="A1723" s="1"/>
      <c r="B1723" s="1"/>
      <c r="C1723" s="1"/>
      <c r="D1723" s="1"/>
      <c r="E1723" s="1"/>
      <c r="F1723" s="1"/>
      <c r="G1723" s="1"/>
      <c r="H1723" s="1"/>
      <c r="I1723" s="1"/>
      <c r="J1723" s="1"/>
      <c r="K1723" s="1"/>
    </row>
    <row r="1724" spans="1:11" ht="15">
      <c r="A1724" s="1"/>
      <c r="B1724" s="1"/>
      <c r="C1724" s="1"/>
      <c r="D1724" s="1"/>
      <c r="E1724" s="1"/>
      <c r="F1724" s="1"/>
      <c r="G1724" s="1"/>
      <c r="H1724" s="1"/>
      <c r="I1724" s="1"/>
      <c r="J1724" s="1"/>
      <c r="K1724" s="1"/>
    </row>
    <row r="1725" spans="1:11" ht="15">
      <c r="A1725" s="1"/>
      <c r="B1725" s="1"/>
      <c r="C1725" s="1"/>
      <c r="D1725" s="1"/>
      <c r="E1725" s="1"/>
      <c r="F1725" s="1"/>
      <c r="G1725" s="1"/>
      <c r="H1725" s="1"/>
      <c r="I1725" s="1"/>
      <c r="J1725" s="1"/>
      <c r="K1725" s="1"/>
    </row>
    <row r="1726" spans="1:11" ht="15">
      <c r="A1726" s="1"/>
      <c r="B1726" s="1"/>
      <c r="C1726" s="1"/>
      <c r="D1726" s="1"/>
      <c r="E1726" s="1"/>
      <c r="F1726" s="1"/>
      <c r="G1726" s="1"/>
      <c r="H1726" s="1"/>
      <c r="I1726" s="1"/>
      <c r="J1726" s="1"/>
      <c r="K1726" s="1"/>
    </row>
    <row r="1727" spans="1:11" ht="15">
      <c r="A1727" s="1"/>
      <c r="B1727" s="1"/>
      <c r="C1727" s="1"/>
      <c r="D1727" s="1"/>
      <c r="E1727" s="1"/>
      <c r="F1727" s="1"/>
      <c r="G1727" s="1"/>
      <c r="H1727" s="1"/>
      <c r="I1727" s="1"/>
      <c r="J1727" s="1"/>
      <c r="K1727" s="1"/>
    </row>
    <row r="1728" spans="1:11" ht="15">
      <c r="A1728" s="1"/>
      <c r="B1728" s="1"/>
      <c r="C1728" s="1"/>
      <c r="D1728" s="1"/>
      <c r="E1728" s="1"/>
      <c r="F1728" s="1"/>
      <c r="G1728" s="1"/>
      <c r="H1728" s="1"/>
      <c r="I1728" s="1"/>
      <c r="J1728" s="1"/>
      <c r="K1728" s="1"/>
    </row>
    <row r="1729" spans="1:11" ht="15">
      <c r="A1729" s="1"/>
      <c r="B1729" s="1"/>
      <c r="C1729" s="1"/>
      <c r="D1729" s="1"/>
      <c r="E1729" s="1"/>
      <c r="F1729" s="1"/>
      <c r="G1729" s="1"/>
      <c r="H1729" s="1"/>
      <c r="I1729" s="1"/>
      <c r="J1729" s="1"/>
      <c r="K1729" s="1"/>
    </row>
    <row r="1730" spans="1:11" ht="15">
      <c r="A1730" s="1"/>
      <c r="B1730" s="1"/>
      <c r="C1730" s="1"/>
      <c r="D1730" s="1"/>
      <c r="E1730" s="1"/>
      <c r="F1730" s="1"/>
      <c r="G1730" s="1"/>
      <c r="H1730" s="1"/>
      <c r="I1730" s="1"/>
      <c r="J1730" s="1"/>
      <c r="K1730" s="1"/>
    </row>
    <row r="1731" spans="1:11" ht="15">
      <c r="A1731" s="1"/>
      <c r="B1731" s="1"/>
      <c r="C1731" s="1"/>
      <c r="D1731" s="1"/>
      <c r="E1731" s="1"/>
      <c r="F1731" s="1"/>
      <c r="G1731" s="1"/>
      <c r="H1731" s="1"/>
      <c r="I1731" s="1"/>
      <c r="J1731" s="1"/>
      <c r="K1731" s="1"/>
    </row>
    <row r="1732" spans="1:11" ht="15">
      <c r="A1732" s="1"/>
      <c r="B1732" s="1"/>
      <c r="C1732" s="1"/>
      <c r="D1732" s="1"/>
      <c r="E1732" s="1"/>
      <c r="F1732" s="1"/>
      <c r="G1732" s="1"/>
      <c r="H1732" s="1"/>
      <c r="I1732" s="1"/>
      <c r="J1732" s="1"/>
      <c r="K1732" s="1"/>
    </row>
    <row r="1733" spans="1:11" ht="15">
      <c r="A1733" s="1"/>
      <c r="B1733" s="1"/>
      <c r="C1733" s="1"/>
      <c r="D1733" s="1"/>
      <c r="E1733" s="1"/>
      <c r="F1733" s="1"/>
      <c r="G1733" s="1"/>
      <c r="H1733" s="1"/>
      <c r="I1733" s="1"/>
      <c r="J1733" s="1"/>
      <c r="K1733" s="1"/>
    </row>
    <row r="1734" spans="1:11" ht="15">
      <c r="A1734" s="1"/>
      <c r="B1734" s="1"/>
      <c r="C1734" s="1"/>
      <c r="D1734" s="1"/>
      <c r="E1734" s="1"/>
      <c r="F1734" s="1"/>
      <c r="G1734" s="1"/>
      <c r="H1734" s="1"/>
      <c r="I1734" s="1"/>
      <c r="J1734" s="1"/>
      <c r="K1734" s="1"/>
    </row>
    <row r="1735" spans="1:11" ht="15">
      <c r="A1735" s="1"/>
      <c r="B1735" s="1"/>
      <c r="C1735" s="1"/>
      <c r="D1735" s="1"/>
      <c r="E1735" s="1"/>
      <c r="F1735" s="1"/>
      <c r="G1735" s="1"/>
      <c r="H1735" s="1"/>
      <c r="I1735" s="1"/>
      <c r="J1735" s="1"/>
      <c r="K1735" s="1"/>
    </row>
    <row r="1736" spans="1:11" ht="15">
      <c r="A1736" s="1"/>
      <c r="B1736" s="1"/>
      <c r="C1736" s="1"/>
      <c r="D1736" s="1"/>
      <c r="E1736" s="1"/>
      <c r="F1736" s="1"/>
      <c r="G1736" s="1"/>
      <c r="H1736" s="1"/>
      <c r="I1736" s="1"/>
      <c r="J1736" s="1"/>
      <c r="K1736" s="1"/>
    </row>
    <row r="1737" spans="1:11" ht="15">
      <c r="A1737" s="1"/>
      <c r="B1737" s="1"/>
      <c r="C1737" s="1"/>
      <c r="D1737" s="1"/>
      <c r="E1737" s="1"/>
      <c r="F1737" s="1"/>
      <c r="G1737" s="1"/>
      <c r="H1737" s="1"/>
      <c r="I1737" s="1"/>
      <c r="J1737" s="1"/>
      <c r="K1737" s="1"/>
    </row>
    <row r="1738" spans="1:11" ht="15">
      <c r="A1738" s="1"/>
      <c r="B1738" s="1"/>
      <c r="C1738" s="1"/>
      <c r="D1738" s="1"/>
      <c r="E1738" s="1"/>
      <c r="F1738" s="1"/>
      <c r="G1738" s="1"/>
      <c r="H1738" s="1"/>
      <c r="I1738" s="1"/>
      <c r="J1738" s="1"/>
      <c r="K1738" s="1"/>
    </row>
    <row r="1739" spans="1:11" ht="15">
      <c r="A1739" s="1"/>
      <c r="B1739" s="1"/>
      <c r="C1739" s="1"/>
      <c r="D1739" s="1"/>
      <c r="E1739" s="1"/>
      <c r="F1739" s="1"/>
      <c r="G1739" s="1"/>
      <c r="H1739" s="1"/>
      <c r="I1739" s="1"/>
      <c r="J1739" s="1"/>
      <c r="K1739" s="1"/>
    </row>
    <row r="1740" spans="1:11" ht="15">
      <c r="A1740" s="1"/>
      <c r="B1740" s="1"/>
      <c r="C1740" s="1"/>
      <c r="D1740" s="1"/>
      <c r="E1740" s="1"/>
      <c r="F1740" s="1"/>
      <c r="G1740" s="1"/>
      <c r="H1740" s="1"/>
      <c r="I1740" s="1"/>
      <c r="J1740" s="1"/>
      <c r="K1740" s="1"/>
    </row>
    <row r="1741" spans="1:11" ht="15">
      <c r="A1741" s="1"/>
      <c r="B1741" s="1"/>
      <c r="C1741" s="1"/>
      <c r="D1741" s="1"/>
      <c r="E1741" s="1"/>
      <c r="F1741" s="1"/>
      <c r="G1741" s="1"/>
      <c r="H1741" s="1"/>
      <c r="I1741" s="1"/>
      <c r="J1741" s="1"/>
      <c r="K1741" s="1"/>
    </row>
    <row r="1742" spans="1:11" ht="15">
      <c r="A1742" s="1"/>
      <c r="B1742" s="1"/>
      <c r="C1742" s="1"/>
      <c r="D1742" s="1"/>
      <c r="E1742" s="1"/>
      <c r="F1742" s="1"/>
      <c r="G1742" s="1"/>
      <c r="H1742" s="1"/>
      <c r="I1742" s="1"/>
      <c r="J1742" s="1"/>
      <c r="K1742" s="1"/>
    </row>
    <row r="1743" spans="1:11" ht="15">
      <c r="A1743" s="1"/>
      <c r="B1743" s="1"/>
      <c r="C1743" s="1"/>
      <c r="D1743" s="1"/>
      <c r="E1743" s="1"/>
      <c r="F1743" s="1"/>
      <c r="G1743" s="1"/>
      <c r="H1743" s="1"/>
      <c r="I1743" s="1"/>
      <c r="J1743" s="1"/>
      <c r="K1743" s="1"/>
    </row>
    <row r="1744" spans="1:11" ht="15">
      <c r="A1744" s="1"/>
      <c r="B1744" s="1"/>
      <c r="C1744" s="1"/>
      <c r="D1744" s="1"/>
      <c r="E1744" s="1"/>
      <c r="F1744" s="1"/>
      <c r="G1744" s="1"/>
      <c r="H1744" s="1"/>
      <c r="I1744" s="1"/>
      <c r="J1744" s="1"/>
      <c r="K1744" s="1"/>
    </row>
    <row r="1745" spans="1:11" ht="15">
      <c r="A1745" s="1"/>
      <c r="B1745" s="1"/>
      <c r="C1745" s="1"/>
      <c r="D1745" s="1"/>
      <c r="E1745" s="1"/>
      <c r="F1745" s="1"/>
      <c r="G1745" s="1"/>
      <c r="H1745" s="1"/>
      <c r="I1745" s="1"/>
      <c r="J1745" s="1"/>
      <c r="K1745" s="1"/>
    </row>
    <row r="1746" spans="1:11" ht="15">
      <c r="A1746" s="1"/>
      <c r="B1746" s="1"/>
      <c r="C1746" s="1"/>
      <c r="D1746" s="1"/>
      <c r="E1746" s="1"/>
      <c r="F1746" s="1"/>
      <c r="G1746" s="1"/>
      <c r="H1746" s="1"/>
      <c r="I1746" s="1"/>
      <c r="J1746" s="1"/>
      <c r="K1746" s="1"/>
    </row>
    <row r="1747" spans="1:11" ht="15">
      <c r="A1747" s="1"/>
      <c r="B1747" s="1"/>
      <c r="C1747" s="1"/>
      <c r="D1747" s="1"/>
      <c r="E1747" s="1"/>
      <c r="F1747" s="1"/>
      <c r="G1747" s="1"/>
      <c r="H1747" s="1"/>
      <c r="I1747" s="1"/>
      <c r="J1747" s="1"/>
      <c r="K1747" s="1"/>
    </row>
    <row r="1748" spans="1:11" ht="15">
      <c r="A1748" s="1"/>
      <c r="B1748" s="1"/>
      <c r="C1748" s="1"/>
      <c r="D1748" s="1"/>
      <c r="E1748" s="1"/>
      <c r="F1748" s="1"/>
      <c r="G1748" s="1"/>
      <c r="H1748" s="1"/>
      <c r="I1748" s="1"/>
      <c r="J1748" s="1"/>
      <c r="K1748" s="1"/>
    </row>
    <row r="1749" spans="1:11" ht="15">
      <c r="A1749" s="1"/>
      <c r="B1749" s="1"/>
      <c r="C1749" s="1"/>
      <c r="D1749" s="1"/>
      <c r="E1749" s="1"/>
      <c r="F1749" s="1"/>
      <c r="G1749" s="1"/>
      <c r="H1749" s="1"/>
      <c r="I1749" s="1"/>
      <c r="J1749" s="1"/>
      <c r="K1749" s="1"/>
    </row>
    <row r="1750" spans="1:11" ht="15">
      <c r="A1750" s="1"/>
      <c r="B1750" s="1"/>
      <c r="C1750" s="1"/>
      <c r="D1750" s="1"/>
      <c r="E1750" s="1"/>
      <c r="F1750" s="1"/>
      <c r="G1750" s="1"/>
      <c r="H1750" s="1"/>
      <c r="I1750" s="1"/>
      <c r="J1750" s="1"/>
      <c r="K1750" s="1"/>
    </row>
    <row r="1751" spans="1:11" ht="15">
      <c r="A1751" s="1"/>
      <c r="B1751" s="1"/>
      <c r="C1751" s="1"/>
      <c r="D1751" s="1"/>
      <c r="E1751" s="1"/>
      <c r="F1751" s="1"/>
      <c r="G1751" s="1"/>
      <c r="H1751" s="1"/>
      <c r="I1751" s="1"/>
      <c r="J1751" s="1"/>
      <c r="K1751" s="1"/>
    </row>
    <row r="1752" spans="1:11" ht="15">
      <c r="A1752" s="1"/>
      <c r="B1752" s="1"/>
      <c r="C1752" s="1"/>
      <c r="D1752" s="1"/>
      <c r="E1752" s="1"/>
      <c r="F1752" s="1"/>
      <c r="G1752" s="1"/>
      <c r="H1752" s="1"/>
      <c r="I1752" s="1"/>
      <c r="J1752" s="1"/>
      <c r="K1752" s="1"/>
    </row>
    <row r="1753" spans="1:11" ht="15">
      <c r="A1753" s="1"/>
      <c r="B1753" s="1"/>
      <c r="C1753" s="1"/>
      <c r="D1753" s="1"/>
      <c r="E1753" s="1"/>
      <c r="F1753" s="1"/>
      <c r="G1753" s="1"/>
      <c r="H1753" s="1"/>
      <c r="I1753" s="1"/>
      <c r="J1753" s="1"/>
      <c r="K1753" s="1"/>
    </row>
    <row r="1754" spans="1:11" ht="15">
      <c r="A1754" s="1"/>
      <c r="B1754" s="1"/>
      <c r="C1754" s="1"/>
      <c r="D1754" s="1"/>
      <c r="E1754" s="1"/>
      <c r="F1754" s="1"/>
      <c r="G1754" s="1"/>
      <c r="H1754" s="1"/>
      <c r="I1754" s="1"/>
      <c r="J1754" s="1"/>
      <c r="K1754" s="1"/>
    </row>
    <row r="1755" spans="1:11" ht="15">
      <c r="A1755" s="1"/>
      <c r="B1755" s="1"/>
      <c r="C1755" s="1"/>
      <c r="D1755" s="1"/>
      <c r="E1755" s="1"/>
      <c r="F1755" s="1"/>
      <c r="G1755" s="1"/>
      <c r="H1755" s="1"/>
      <c r="I1755" s="1"/>
      <c r="J1755" s="1"/>
      <c r="K1755" s="1"/>
    </row>
    <row r="1756" spans="1:11" ht="15">
      <c r="A1756" s="1"/>
      <c r="B1756" s="1"/>
      <c r="C1756" s="1"/>
      <c r="D1756" s="1"/>
      <c r="E1756" s="1"/>
      <c r="F1756" s="1"/>
      <c r="G1756" s="1"/>
      <c r="H1756" s="1"/>
      <c r="I1756" s="1"/>
      <c r="J1756" s="1"/>
      <c r="K1756" s="1"/>
    </row>
    <row r="1757" spans="1:11" ht="15">
      <c r="A1757" s="1"/>
      <c r="B1757" s="1"/>
      <c r="C1757" s="1"/>
      <c r="D1757" s="1"/>
      <c r="E1757" s="1"/>
      <c r="F1757" s="1"/>
      <c r="G1757" s="1"/>
      <c r="H1757" s="1"/>
      <c r="I1757" s="1"/>
      <c r="J1757" s="1"/>
      <c r="K1757" s="1"/>
    </row>
    <row r="1758" spans="1:11" ht="15">
      <c r="A1758" s="1"/>
      <c r="B1758" s="1"/>
      <c r="C1758" s="1"/>
      <c r="D1758" s="1"/>
      <c r="E1758" s="1"/>
      <c r="F1758" s="1"/>
      <c r="G1758" s="1"/>
      <c r="H1758" s="1"/>
      <c r="I1758" s="1"/>
      <c r="J1758" s="1"/>
      <c r="K1758" s="1"/>
    </row>
    <row r="1759" spans="1:11" ht="15">
      <c r="A1759" s="1"/>
      <c r="B1759" s="1"/>
      <c r="C1759" s="1"/>
      <c r="D1759" s="1"/>
      <c r="E1759" s="1"/>
      <c r="F1759" s="1"/>
      <c r="G1759" s="1"/>
      <c r="H1759" s="1"/>
      <c r="I1759" s="1"/>
      <c r="J1759" s="1"/>
      <c r="K1759" s="1"/>
    </row>
    <row r="1760" spans="1:11" ht="15">
      <c r="A1760" s="1"/>
      <c r="B1760" s="1"/>
      <c r="C1760" s="1"/>
      <c r="D1760" s="1"/>
      <c r="E1760" s="1"/>
      <c r="F1760" s="1"/>
      <c r="G1760" s="1"/>
      <c r="H1760" s="1"/>
      <c r="I1760" s="1"/>
      <c r="J1760" s="1"/>
      <c r="K1760" s="1"/>
    </row>
    <row r="1761" spans="1:11" ht="15">
      <c r="A1761" s="1"/>
      <c r="B1761" s="1"/>
      <c r="C1761" s="1"/>
      <c r="D1761" s="1"/>
      <c r="E1761" s="1"/>
      <c r="F1761" s="1"/>
      <c r="G1761" s="1"/>
      <c r="H1761" s="1"/>
      <c r="I1761" s="1"/>
      <c r="J1761" s="1"/>
      <c r="K1761" s="1"/>
    </row>
    <row r="1762" spans="1:11" ht="15">
      <c r="A1762" s="1"/>
      <c r="B1762" s="1"/>
      <c r="C1762" s="1"/>
      <c r="D1762" s="1"/>
      <c r="E1762" s="1"/>
      <c r="F1762" s="1"/>
      <c r="G1762" s="1"/>
      <c r="H1762" s="1"/>
      <c r="I1762" s="1"/>
      <c r="J1762" s="1"/>
      <c r="K1762" s="1"/>
    </row>
    <row r="1763" spans="1:11" ht="15">
      <c r="A1763" s="1"/>
      <c r="B1763" s="1"/>
      <c r="C1763" s="1"/>
      <c r="D1763" s="1"/>
      <c r="E1763" s="1"/>
      <c r="F1763" s="1"/>
      <c r="G1763" s="1"/>
      <c r="H1763" s="1"/>
      <c r="I1763" s="1"/>
      <c r="J1763" s="1"/>
      <c r="K1763" s="1"/>
    </row>
    <row r="1764" spans="1:11" ht="15">
      <c r="A1764" s="1"/>
      <c r="B1764" s="1"/>
      <c r="C1764" s="1"/>
      <c r="D1764" s="1"/>
      <c r="E1764" s="1"/>
      <c r="F1764" s="1"/>
      <c r="G1764" s="1"/>
      <c r="H1764" s="1"/>
      <c r="I1764" s="1"/>
      <c r="J1764" s="1"/>
      <c r="K1764" s="1"/>
    </row>
    <row r="1765" spans="1:11" ht="15">
      <c r="A1765" s="1"/>
      <c r="B1765" s="1"/>
      <c r="C1765" s="1"/>
      <c r="D1765" s="1"/>
      <c r="E1765" s="1"/>
      <c r="F1765" s="1"/>
      <c r="G1765" s="1"/>
      <c r="H1765" s="1"/>
      <c r="I1765" s="1"/>
      <c r="J1765" s="1"/>
      <c r="K1765" s="1"/>
    </row>
    <row r="1766" spans="1:11" ht="15">
      <c r="A1766" s="1"/>
      <c r="B1766" s="1"/>
      <c r="C1766" s="1"/>
      <c r="D1766" s="1"/>
      <c r="E1766" s="1"/>
      <c r="F1766" s="1"/>
      <c r="G1766" s="1"/>
      <c r="H1766" s="1"/>
      <c r="I1766" s="1"/>
      <c r="J1766" s="1"/>
      <c r="K1766" s="1"/>
    </row>
    <row r="1767" spans="1:11" ht="15">
      <c r="A1767" s="1"/>
      <c r="B1767" s="1"/>
      <c r="C1767" s="1"/>
      <c r="D1767" s="1"/>
      <c r="E1767" s="1"/>
      <c r="F1767" s="1"/>
      <c r="G1767" s="1"/>
      <c r="H1767" s="1"/>
      <c r="I1767" s="1"/>
      <c r="J1767" s="1"/>
      <c r="K1767" s="1"/>
    </row>
    <row r="1768" spans="1:11" ht="15">
      <c r="A1768" s="1"/>
      <c r="B1768" s="1"/>
      <c r="C1768" s="1"/>
      <c r="D1768" s="1"/>
      <c r="E1768" s="1"/>
      <c r="F1768" s="1"/>
      <c r="G1768" s="1"/>
      <c r="H1768" s="1"/>
      <c r="I1768" s="1"/>
      <c r="J1768" s="1"/>
      <c r="K1768" s="1"/>
    </row>
    <row r="1769" spans="1:11" ht="15">
      <c r="A1769" s="1"/>
      <c r="B1769" s="1"/>
      <c r="C1769" s="1"/>
      <c r="D1769" s="1"/>
      <c r="E1769" s="1"/>
      <c r="F1769" s="1"/>
      <c r="G1769" s="1"/>
      <c r="H1769" s="1"/>
      <c r="I1769" s="1"/>
      <c r="J1769" s="1"/>
      <c r="K1769" s="1"/>
    </row>
    <row r="1770" spans="1:11" ht="15">
      <c r="A1770" s="1"/>
      <c r="B1770" s="1"/>
      <c r="C1770" s="1"/>
      <c r="D1770" s="1"/>
      <c r="E1770" s="1"/>
      <c r="F1770" s="1"/>
      <c r="G1770" s="1"/>
      <c r="H1770" s="1"/>
      <c r="I1770" s="1"/>
      <c r="J1770" s="1"/>
      <c r="K1770" s="1"/>
    </row>
    <row r="1771" spans="1:11" ht="15">
      <c r="A1771" s="1"/>
      <c r="B1771" s="1"/>
      <c r="C1771" s="1"/>
      <c r="D1771" s="1"/>
      <c r="E1771" s="1"/>
      <c r="F1771" s="1"/>
      <c r="G1771" s="1"/>
      <c r="H1771" s="1"/>
      <c r="I1771" s="1"/>
      <c r="J1771" s="1"/>
      <c r="K1771" s="1"/>
    </row>
    <row r="1772" spans="1:11" ht="15">
      <c r="A1772" s="1"/>
      <c r="B1772" s="1"/>
      <c r="C1772" s="1"/>
      <c r="D1772" s="1"/>
      <c r="E1772" s="1"/>
      <c r="F1772" s="1"/>
      <c r="G1772" s="1"/>
      <c r="H1772" s="1"/>
      <c r="I1772" s="1"/>
      <c r="J1772" s="1"/>
      <c r="K1772" s="1"/>
    </row>
    <row r="1773" spans="1:11" ht="15">
      <c r="A1773" s="1"/>
      <c r="B1773" s="1"/>
      <c r="C1773" s="1"/>
      <c r="D1773" s="1"/>
      <c r="E1773" s="1"/>
      <c r="F1773" s="1"/>
      <c r="G1773" s="1"/>
      <c r="H1773" s="1"/>
      <c r="I1773" s="1"/>
      <c r="J1773" s="1"/>
      <c r="K1773" s="1"/>
    </row>
    <row r="1774" spans="1:11" ht="15">
      <c r="A1774" s="1"/>
      <c r="B1774" s="1"/>
      <c r="C1774" s="1"/>
      <c r="D1774" s="1"/>
      <c r="E1774" s="1"/>
      <c r="F1774" s="1"/>
      <c r="G1774" s="1"/>
      <c r="H1774" s="1"/>
      <c r="I1774" s="1"/>
      <c r="J1774" s="1"/>
      <c r="K1774" s="1"/>
    </row>
    <row r="1775" spans="1:11" ht="15">
      <c r="A1775" s="1"/>
      <c r="B1775" s="1"/>
      <c r="C1775" s="1"/>
      <c r="D1775" s="1"/>
      <c r="E1775" s="1"/>
      <c r="F1775" s="1"/>
      <c r="G1775" s="1"/>
      <c r="H1775" s="1"/>
      <c r="I1775" s="1"/>
      <c r="J1775" s="1"/>
      <c r="K1775" s="1"/>
    </row>
    <row r="1776" spans="1:11" ht="15">
      <c r="A1776" s="1"/>
      <c r="B1776" s="1"/>
      <c r="C1776" s="1"/>
      <c r="D1776" s="1"/>
      <c r="E1776" s="1"/>
      <c r="F1776" s="1"/>
      <c r="G1776" s="1"/>
      <c r="H1776" s="1"/>
      <c r="I1776" s="1"/>
      <c r="J1776" s="1"/>
      <c r="K1776" s="1"/>
    </row>
    <row r="1777" spans="1:11" ht="15">
      <c r="A1777" s="1"/>
      <c r="B1777" s="1"/>
      <c r="C1777" s="1"/>
      <c r="D1777" s="1"/>
      <c r="E1777" s="1"/>
      <c r="F1777" s="1"/>
      <c r="G1777" s="1"/>
      <c r="H1777" s="1"/>
      <c r="I1777" s="1"/>
      <c r="J1777" s="1"/>
      <c r="K1777" s="1"/>
    </row>
    <row r="1778" spans="1:11" ht="15">
      <c r="A1778" s="1"/>
      <c r="B1778" s="1"/>
      <c r="C1778" s="1"/>
      <c r="D1778" s="1"/>
      <c r="E1778" s="1"/>
      <c r="F1778" s="1"/>
      <c r="G1778" s="1"/>
      <c r="H1778" s="1"/>
      <c r="I1778" s="1"/>
      <c r="J1778" s="1"/>
      <c r="K1778" s="1"/>
    </row>
    <row r="1779" spans="1:11" ht="15">
      <c r="A1779" s="1"/>
      <c r="B1779" s="1"/>
      <c r="C1779" s="1"/>
      <c r="D1779" s="1"/>
      <c r="E1779" s="1"/>
      <c r="F1779" s="1"/>
      <c r="G1779" s="1"/>
      <c r="H1779" s="1"/>
      <c r="I1779" s="1"/>
      <c r="J1779" s="1"/>
      <c r="K1779" s="1"/>
    </row>
    <row r="1780" spans="1:11" ht="15">
      <c r="A1780" s="1"/>
      <c r="B1780" s="1"/>
      <c r="C1780" s="1"/>
      <c r="D1780" s="1"/>
      <c r="E1780" s="1"/>
      <c r="F1780" s="1"/>
      <c r="G1780" s="1"/>
      <c r="H1780" s="1"/>
      <c r="I1780" s="1"/>
      <c r="J1780" s="1"/>
      <c r="K1780" s="1"/>
    </row>
    <row r="1781" spans="1:11" ht="15">
      <c r="A1781" s="1"/>
      <c r="B1781" s="1"/>
      <c r="C1781" s="1"/>
      <c r="D1781" s="1"/>
      <c r="E1781" s="1"/>
      <c r="F1781" s="1"/>
      <c r="G1781" s="1"/>
      <c r="H1781" s="1"/>
      <c r="I1781" s="1"/>
      <c r="J1781" s="1"/>
      <c r="K1781" s="1"/>
    </row>
    <row r="1782" spans="1:11" ht="15">
      <c r="A1782" s="1"/>
      <c r="B1782" s="1"/>
      <c r="C1782" s="1"/>
      <c r="D1782" s="1"/>
      <c r="E1782" s="1"/>
      <c r="F1782" s="1"/>
      <c r="G1782" s="1"/>
      <c r="H1782" s="1"/>
      <c r="I1782" s="1"/>
      <c r="J1782" s="1"/>
      <c r="K1782" s="1"/>
    </row>
    <row r="1783" spans="1:11" ht="15">
      <c r="A1783" s="1"/>
      <c r="B1783" s="1"/>
      <c r="C1783" s="1"/>
      <c r="D1783" s="1"/>
      <c r="E1783" s="1"/>
      <c r="F1783" s="1"/>
      <c r="G1783" s="1"/>
      <c r="H1783" s="1"/>
      <c r="I1783" s="1"/>
      <c r="J1783" s="1"/>
      <c r="K1783" s="1"/>
    </row>
    <row r="1784" spans="1:11" ht="15">
      <c r="A1784" s="1"/>
      <c r="B1784" s="1"/>
      <c r="C1784" s="1"/>
      <c r="D1784" s="1"/>
      <c r="E1784" s="1"/>
      <c r="F1784" s="1"/>
      <c r="G1784" s="1"/>
      <c r="H1784" s="1"/>
      <c r="I1784" s="1"/>
      <c r="J1784" s="1"/>
      <c r="K1784" s="1"/>
    </row>
    <row r="1785" spans="1:11" ht="15">
      <c r="A1785" s="1"/>
      <c r="B1785" s="1"/>
      <c r="C1785" s="1"/>
      <c r="D1785" s="1"/>
      <c r="E1785" s="1"/>
      <c r="F1785" s="1"/>
      <c r="G1785" s="1"/>
      <c r="H1785" s="1"/>
      <c r="I1785" s="1"/>
      <c r="J1785" s="1"/>
      <c r="K1785" s="1"/>
    </row>
    <row r="1786" spans="1:11" ht="15">
      <c r="A1786" s="1"/>
      <c r="B1786" s="1"/>
      <c r="C1786" s="1"/>
      <c r="D1786" s="1"/>
      <c r="E1786" s="1"/>
      <c r="F1786" s="1"/>
      <c r="G1786" s="1"/>
      <c r="H1786" s="1"/>
      <c r="I1786" s="1"/>
      <c r="J1786" s="1"/>
      <c r="K1786" s="1"/>
    </row>
    <row r="1787" spans="1:11" ht="15">
      <c r="A1787" s="1"/>
      <c r="B1787" s="1"/>
      <c r="C1787" s="1"/>
      <c r="D1787" s="1"/>
      <c r="E1787" s="1"/>
      <c r="F1787" s="1"/>
      <c r="G1787" s="1"/>
      <c r="H1787" s="1"/>
      <c r="I1787" s="1"/>
      <c r="J1787" s="1"/>
      <c r="K1787" s="1"/>
    </row>
    <row r="1788" spans="1:11" ht="15">
      <c r="A1788" s="1"/>
      <c r="B1788" s="1"/>
      <c r="C1788" s="1"/>
      <c r="D1788" s="1"/>
      <c r="E1788" s="1"/>
      <c r="F1788" s="1"/>
      <c r="G1788" s="1"/>
      <c r="H1788" s="1"/>
      <c r="I1788" s="1"/>
      <c r="J1788" s="1"/>
      <c r="K1788" s="1"/>
    </row>
    <row r="1789" spans="1:11" ht="15">
      <c r="A1789" s="1"/>
      <c r="B1789" s="1"/>
      <c r="C1789" s="1"/>
      <c r="D1789" s="1"/>
      <c r="E1789" s="1"/>
      <c r="F1789" s="1"/>
      <c r="G1789" s="1"/>
      <c r="H1789" s="1"/>
      <c r="I1789" s="1"/>
      <c r="J1789" s="1"/>
      <c r="K1789" s="1"/>
    </row>
    <row r="1790" spans="1:11" ht="15">
      <c r="A1790" s="1"/>
      <c r="B1790" s="1"/>
      <c r="C1790" s="1"/>
      <c r="D1790" s="1"/>
      <c r="E1790" s="1"/>
      <c r="F1790" s="1"/>
      <c r="G1790" s="1"/>
      <c r="H1790" s="1"/>
      <c r="I1790" s="1"/>
      <c r="J1790" s="1"/>
      <c r="K1790" s="1"/>
    </row>
    <row r="1791" spans="1:11" ht="15">
      <c r="A1791" s="1"/>
      <c r="B1791" s="1"/>
      <c r="C1791" s="1"/>
      <c r="D1791" s="1"/>
      <c r="E1791" s="1"/>
      <c r="F1791" s="1"/>
      <c r="G1791" s="1"/>
      <c r="H1791" s="1"/>
      <c r="I1791" s="1"/>
      <c r="J1791" s="1"/>
      <c r="K1791" s="1"/>
    </row>
    <row r="1792" spans="1:11" ht="15">
      <c r="A1792" s="1"/>
      <c r="B1792" s="1"/>
      <c r="C1792" s="1"/>
      <c r="D1792" s="1"/>
      <c r="E1792" s="1"/>
      <c r="F1792" s="1"/>
      <c r="G1792" s="1"/>
      <c r="H1792" s="1"/>
      <c r="I1792" s="1"/>
      <c r="J1792" s="1"/>
      <c r="K1792" s="1"/>
    </row>
    <row r="1793" spans="1:11" ht="15">
      <c r="A1793" s="1"/>
      <c r="B1793" s="1"/>
      <c r="C1793" s="1"/>
      <c r="D1793" s="1"/>
      <c r="E1793" s="1"/>
      <c r="F1793" s="1"/>
      <c r="G1793" s="1"/>
      <c r="H1793" s="1"/>
      <c r="I1793" s="1"/>
      <c r="J1793" s="1"/>
      <c r="K1793" s="1"/>
    </row>
    <row r="1794" spans="1:11" ht="15">
      <c r="A1794" s="1"/>
      <c r="B1794" s="1"/>
      <c r="C1794" s="1"/>
      <c r="D1794" s="1"/>
      <c r="E1794" s="1"/>
      <c r="F1794" s="1"/>
      <c r="G1794" s="1"/>
      <c r="H1794" s="1"/>
      <c r="I1794" s="1"/>
      <c r="J1794" s="1"/>
      <c r="K1794" s="1"/>
    </row>
    <row r="1795" spans="1:11" ht="15">
      <c r="A1795" s="1"/>
      <c r="B1795" s="1"/>
      <c r="C1795" s="1"/>
      <c r="D1795" s="1"/>
      <c r="E1795" s="1"/>
      <c r="F1795" s="1"/>
      <c r="G1795" s="1"/>
      <c r="H1795" s="1"/>
      <c r="I1795" s="1"/>
      <c r="J1795" s="1"/>
      <c r="K1795" s="1"/>
    </row>
    <row r="1796" spans="1:11" ht="15">
      <c r="A1796" s="1"/>
      <c r="B1796" s="1"/>
      <c r="C1796" s="1"/>
      <c r="D1796" s="1"/>
      <c r="E1796" s="1"/>
      <c r="F1796" s="1"/>
      <c r="G1796" s="1"/>
      <c r="H1796" s="1"/>
      <c r="I1796" s="1"/>
      <c r="J1796" s="1"/>
      <c r="K1796" s="1"/>
    </row>
    <row r="1797" spans="1:11" ht="15">
      <c r="A1797" s="1"/>
      <c r="B1797" s="1"/>
      <c r="C1797" s="1"/>
      <c r="D1797" s="1"/>
      <c r="E1797" s="1"/>
      <c r="F1797" s="1"/>
      <c r="G1797" s="1"/>
      <c r="H1797" s="1"/>
      <c r="I1797" s="1"/>
      <c r="J1797" s="1"/>
      <c r="K1797" s="1"/>
    </row>
    <row r="1798" spans="1:11" ht="15">
      <c r="A1798" s="1"/>
      <c r="B1798" s="1"/>
      <c r="C1798" s="1"/>
      <c r="D1798" s="1"/>
      <c r="E1798" s="1"/>
      <c r="F1798" s="1"/>
      <c r="G1798" s="1"/>
      <c r="H1798" s="1"/>
      <c r="I1798" s="1"/>
      <c r="J1798" s="1"/>
      <c r="K1798" s="1"/>
    </row>
    <row r="1799" spans="1:11" ht="15">
      <c r="A1799" s="1"/>
      <c r="B1799" s="1"/>
      <c r="C1799" s="1"/>
      <c r="D1799" s="1"/>
      <c r="E1799" s="1"/>
      <c r="F1799" s="1"/>
      <c r="G1799" s="1"/>
      <c r="H1799" s="1"/>
      <c r="I1799" s="1"/>
      <c r="J1799" s="1"/>
      <c r="K1799" s="1"/>
    </row>
    <row r="1800" spans="1:11" ht="15">
      <c r="A1800" s="1"/>
      <c r="B1800" s="1"/>
      <c r="C1800" s="1"/>
      <c r="D1800" s="1"/>
      <c r="E1800" s="1"/>
      <c r="F1800" s="1"/>
      <c r="G1800" s="1"/>
      <c r="H1800" s="1"/>
      <c r="I1800" s="1"/>
      <c r="J1800" s="1"/>
      <c r="K1800" s="1"/>
    </row>
    <row r="1801" spans="1:11" ht="15">
      <c r="A1801" s="1"/>
      <c r="B1801" s="1"/>
      <c r="C1801" s="1"/>
      <c r="D1801" s="1"/>
      <c r="E1801" s="1"/>
      <c r="F1801" s="1"/>
      <c r="G1801" s="1"/>
      <c r="H1801" s="1"/>
      <c r="I1801" s="1"/>
      <c r="J1801" s="1"/>
      <c r="K1801" s="1"/>
    </row>
    <row r="1802" spans="1:11" ht="15">
      <c r="A1802" s="1"/>
      <c r="B1802" s="1"/>
      <c r="C1802" s="1"/>
      <c r="D1802" s="1"/>
      <c r="E1802" s="1"/>
      <c r="F1802" s="1"/>
      <c r="G1802" s="1"/>
      <c r="H1802" s="1"/>
      <c r="I1802" s="1"/>
      <c r="J1802" s="1"/>
      <c r="K1802" s="1"/>
    </row>
    <row r="1803" spans="1:11" ht="15">
      <c r="A1803" s="1"/>
      <c r="B1803" s="1"/>
      <c r="C1803" s="1"/>
      <c r="D1803" s="1"/>
      <c r="E1803" s="1"/>
      <c r="F1803" s="1"/>
      <c r="G1803" s="1"/>
      <c r="H1803" s="1"/>
      <c r="I1803" s="1"/>
      <c r="J1803" s="1"/>
      <c r="K1803" s="1"/>
    </row>
    <row r="1804" spans="1:11" ht="15">
      <c r="A1804" s="1"/>
      <c r="B1804" s="1"/>
      <c r="C1804" s="1"/>
      <c r="D1804" s="1"/>
      <c r="E1804" s="1"/>
      <c r="F1804" s="1"/>
      <c r="G1804" s="1"/>
      <c r="H1804" s="1"/>
      <c r="I1804" s="1"/>
      <c r="J1804" s="1"/>
      <c r="K1804" s="1"/>
    </row>
    <row r="1805" spans="1:11" ht="15">
      <c r="A1805" s="1"/>
      <c r="B1805" s="1"/>
      <c r="C1805" s="1"/>
      <c r="D1805" s="1"/>
      <c r="E1805" s="1"/>
      <c r="F1805" s="1"/>
      <c r="G1805" s="1"/>
      <c r="H1805" s="1"/>
      <c r="I1805" s="1"/>
      <c r="J1805" s="1"/>
      <c r="K1805" s="1"/>
    </row>
    <row r="1806" spans="1:11" ht="15">
      <c r="A1806" s="1"/>
      <c r="B1806" s="1"/>
      <c r="C1806" s="1"/>
      <c r="D1806" s="1"/>
      <c r="E1806" s="1"/>
      <c r="F1806" s="1"/>
      <c r="G1806" s="1"/>
      <c r="H1806" s="1"/>
      <c r="I1806" s="1"/>
      <c r="J1806" s="1"/>
      <c r="K1806" s="1"/>
    </row>
    <row r="1807" spans="1:11" ht="15">
      <c r="A1807" s="1"/>
      <c r="B1807" s="1"/>
      <c r="C1807" s="1"/>
      <c r="D1807" s="1"/>
      <c r="E1807" s="1"/>
      <c r="F1807" s="1"/>
      <c r="G1807" s="1"/>
      <c r="H1807" s="1"/>
      <c r="I1807" s="1"/>
      <c r="J1807" s="1"/>
      <c r="K1807" s="1"/>
    </row>
    <row r="1808" spans="1:11" ht="15">
      <c r="A1808" s="1"/>
      <c r="B1808" s="1"/>
      <c r="C1808" s="1"/>
      <c r="D1808" s="1"/>
      <c r="E1808" s="1"/>
      <c r="F1808" s="1"/>
      <c r="G1808" s="1"/>
      <c r="H1808" s="1"/>
      <c r="I1808" s="1"/>
      <c r="J1808" s="1"/>
      <c r="K1808" s="1"/>
    </row>
    <row r="1809" spans="1:11" ht="15">
      <c r="A1809" s="1"/>
      <c r="B1809" s="1"/>
      <c r="C1809" s="1"/>
      <c r="D1809" s="1"/>
      <c r="E1809" s="1"/>
      <c r="F1809" s="1"/>
      <c r="G1809" s="1"/>
      <c r="H1809" s="1"/>
      <c r="I1809" s="1"/>
      <c r="J1809" s="1"/>
      <c r="K1809" s="1"/>
    </row>
    <row r="1810" spans="1:11" ht="15">
      <c r="A1810" s="1"/>
      <c r="B1810" s="1"/>
      <c r="C1810" s="1"/>
      <c r="D1810" s="1"/>
      <c r="E1810" s="1"/>
      <c r="F1810" s="1"/>
      <c r="G1810" s="1"/>
      <c r="H1810" s="1"/>
      <c r="I1810" s="1"/>
      <c r="J1810" s="1"/>
      <c r="K1810" s="1"/>
    </row>
    <row r="1811" spans="1:11" ht="15">
      <c r="A1811" s="1"/>
      <c r="B1811" s="1"/>
      <c r="C1811" s="1"/>
      <c r="D1811" s="1"/>
      <c r="E1811" s="1"/>
      <c r="F1811" s="1"/>
      <c r="G1811" s="1"/>
      <c r="H1811" s="1"/>
      <c r="I1811" s="1"/>
      <c r="J1811" s="1"/>
      <c r="K1811" s="1"/>
    </row>
    <row r="1812" spans="1:11" ht="15">
      <c r="A1812" s="1"/>
      <c r="B1812" s="1"/>
      <c r="C1812" s="1"/>
      <c r="D1812" s="1"/>
      <c r="E1812" s="1"/>
      <c r="F1812" s="1"/>
      <c r="G1812" s="1"/>
      <c r="H1812" s="1"/>
      <c r="I1812" s="1"/>
      <c r="J1812" s="1"/>
      <c r="K1812" s="1"/>
    </row>
    <row r="1813" spans="1:11" ht="15">
      <c r="A1813" s="1"/>
      <c r="B1813" s="1"/>
      <c r="C1813" s="1"/>
      <c r="D1813" s="1"/>
      <c r="E1813" s="1"/>
      <c r="F1813" s="1"/>
      <c r="G1813" s="1"/>
      <c r="H1813" s="1"/>
      <c r="I1813" s="1"/>
      <c r="J1813" s="1"/>
      <c r="K1813" s="1"/>
    </row>
    <row r="1814" spans="1:11" ht="15">
      <c r="A1814" s="1"/>
      <c r="B1814" s="1"/>
      <c r="C1814" s="1"/>
      <c r="D1814" s="1"/>
      <c r="E1814" s="1"/>
      <c r="F1814" s="1"/>
      <c r="G1814" s="1"/>
      <c r="H1814" s="1"/>
      <c r="I1814" s="1"/>
      <c r="J1814" s="1"/>
      <c r="K1814" s="1"/>
    </row>
    <row r="1815" spans="1:11" ht="15">
      <c r="A1815" s="1"/>
      <c r="B1815" s="1"/>
      <c r="C1815" s="1"/>
      <c r="D1815" s="1"/>
      <c r="E1815" s="1"/>
      <c r="F1815" s="1"/>
      <c r="G1815" s="1"/>
      <c r="H1815" s="1"/>
      <c r="I1815" s="1"/>
      <c r="J1815" s="1"/>
      <c r="K1815" s="1"/>
    </row>
    <row r="1816" spans="1:11" ht="15">
      <c r="A1816" s="1"/>
      <c r="B1816" s="1"/>
      <c r="C1816" s="1"/>
      <c r="D1816" s="1"/>
      <c r="E1816" s="1"/>
      <c r="F1816" s="1"/>
      <c r="G1816" s="1"/>
      <c r="H1816" s="1"/>
      <c r="I1816" s="1"/>
      <c r="J1816" s="1"/>
      <c r="K1816" s="1"/>
    </row>
    <row r="1817" spans="1:11" ht="15">
      <c r="A1817" s="1"/>
      <c r="B1817" s="1"/>
      <c r="C1817" s="1"/>
      <c r="D1817" s="1"/>
      <c r="E1817" s="1"/>
      <c r="F1817" s="1"/>
      <c r="G1817" s="1"/>
      <c r="H1817" s="1"/>
      <c r="I1817" s="1"/>
      <c r="J1817" s="1"/>
      <c r="K1817" s="1"/>
    </row>
    <row r="1818" spans="1:11" ht="15">
      <c r="A1818" s="1"/>
      <c r="B1818" s="1"/>
      <c r="C1818" s="1"/>
      <c r="D1818" s="1"/>
      <c r="E1818" s="1"/>
      <c r="F1818" s="1"/>
      <c r="G1818" s="1"/>
      <c r="H1818" s="1"/>
      <c r="I1818" s="1"/>
      <c r="J1818" s="1"/>
      <c r="K1818" s="1"/>
    </row>
    <row r="1819" spans="1:11" ht="15">
      <c r="A1819" s="1"/>
      <c r="B1819" s="1"/>
      <c r="C1819" s="1"/>
      <c r="D1819" s="1"/>
      <c r="E1819" s="1"/>
      <c r="F1819" s="1"/>
      <c r="G1819" s="1"/>
      <c r="H1819" s="1"/>
      <c r="I1819" s="1"/>
      <c r="J1819" s="1"/>
      <c r="K1819" s="1"/>
    </row>
    <row r="1820" spans="1:11" ht="15">
      <c r="A1820" s="1"/>
      <c r="B1820" s="1"/>
      <c r="C1820" s="1"/>
      <c r="D1820" s="1"/>
      <c r="E1820" s="1"/>
      <c r="F1820" s="1"/>
      <c r="G1820" s="1"/>
      <c r="H1820" s="1"/>
      <c r="I1820" s="1"/>
      <c r="J1820" s="1"/>
      <c r="K1820" s="1"/>
    </row>
    <row r="1821" spans="1:11" ht="15">
      <c r="A1821" s="1"/>
      <c r="B1821" s="1"/>
      <c r="C1821" s="1"/>
      <c r="D1821" s="1"/>
      <c r="E1821" s="1"/>
      <c r="F1821" s="1"/>
      <c r="G1821" s="1"/>
      <c r="H1821" s="1"/>
      <c r="I1821" s="1"/>
      <c r="J1821" s="1"/>
      <c r="K1821" s="1"/>
    </row>
    <row r="1822" spans="1:11" ht="15">
      <c r="A1822" s="1"/>
      <c r="B1822" s="1"/>
      <c r="C1822" s="1"/>
      <c r="D1822" s="1"/>
      <c r="E1822" s="1"/>
      <c r="F1822" s="1"/>
      <c r="G1822" s="1"/>
      <c r="H1822" s="1"/>
      <c r="I1822" s="1"/>
      <c r="J1822" s="1"/>
      <c r="K1822" s="1"/>
    </row>
    <row r="1823" spans="1:11" ht="15">
      <c r="A1823" s="1"/>
      <c r="B1823" s="1"/>
      <c r="C1823" s="1"/>
      <c r="D1823" s="1"/>
      <c r="E1823" s="1"/>
      <c r="F1823" s="1"/>
      <c r="G1823" s="1"/>
      <c r="H1823" s="1"/>
      <c r="I1823" s="1"/>
      <c r="J1823" s="1"/>
      <c r="K1823" s="1"/>
    </row>
    <row r="1824" spans="1:11" ht="15">
      <c r="A1824" s="1"/>
      <c r="B1824" s="1"/>
      <c r="C1824" s="1"/>
      <c r="D1824" s="1"/>
      <c r="E1824" s="1"/>
      <c r="F1824" s="1"/>
      <c r="G1824" s="1"/>
      <c r="H1824" s="1"/>
      <c r="I1824" s="1"/>
      <c r="J1824" s="1"/>
      <c r="K1824" s="1"/>
    </row>
    <row r="1825" spans="1:11" ht="15">
      <c r="A1825" s="1"/>
      <c r="B1825" s="1"/>
      <c r="C1825" s="1"/>
      <c r="D1825" s="1"/>
      <c r="E1825" s="1"/>
      <c r="F1825" s="1"/>
      <c r="G1825" s="1"/>
      <c r="H1825" s="1"/>
      <c r="I1825" s="1"/>
      <c r="J1825" s="1"/>
      <c r="K1825" s="1"/>
    </row>
    <row r="1826" spans="1:11" ht="15">
      <c r="A1826" s="1"/>
      <c r="B1826" s="1"/>
      <c r="C1826" s="1"/>
      <c r="D1826" s="1"/>
      <c r="E1826" s="1"/>
      <c r="F1826" s="1"/>
      <c r="G1826" s="1"/>
      <c r="H1826" s="1"/>
      <c r="I1826" s="1"/>
      <c r="J1826" s="1"/>
      <c r="K1826" s="1"/>
    </row>
    <row r="1827" spans="1:11" ht="15">
      <c r="A1827" s="1"/>
      <c r="B1827" s="1"/>
      <c r="C1827" s="1"/>
      <c r="D1827" s="1"/>
      <c r="E1827" s="1"/>
      <c r="F1827" s="1"/>
      <c r="G1827" s="1"/>
      <c r="H1827" s="1"/>
      <c r="I1827" s="1"/>
      <c r="J1827" s="1"/>
      <c r="K1827" s="1"/>
    </row>
    <row r="1828" spans="1:11" ht="15">
      <c r="A1828" s="1"/>
      <c r="B1828" s="1"/>
      <c r="C1828" s="1"/>
      <c r="D1828" s="1"/>
      <c r="E1828" s="1"/>
      <c r="F1828" s="1"/>
      <c r="G1828" s="1"/>
      <c r="H1828" s="1"/>
      <c r="I1828" s="1"/>
      <c r="J1828" s="1"/>
      <c r="K1828" s="1"/>
    </row>
    <row r="1829" spans="1:11" ht="15">
      <c r="A1829" s="1"/>
      <c r="B1829" s="1"/>
      <c r="C1829" s="1"/>
      <c r="D1829" s="1"/>
      <c r="E1829" s="1"/>
      <c r="F1829" s="1"/>
      <c r="G1829" s="1"/>
      <c r="H1829" s="1"/>
      <c r="I1829" s="1"/>
      <c r="J1829" s="1"/>
      <c r="K1829" s="1"/>
    </row>
    <row r="1830" spans="1:11" ht="15">
      <c r="A1830" s="1"/>
      <c r="B1830" s="1"/>
      <c r="C1830" s="1"/>
      <c r="D1830" s="1"/>
      <c r="E1830" s="1"/>
      <c r="F1830" s="1"/>
      <c r="G1830" s="1"/>
      <c r="H1830" s="1"/>
      <c r="I1830" s="1"/>
      <c r="J1830" s="1"/>
      <c r="K1830" s="1"/>
    </row>
    <row r="1831" spans="1:11" ht="15">
      <c r="A1831" s="1"/>
      <c r="B1831" s="1"/>
      <c r="C1831" s="1"/>
      <c r="D1831" s="1"/>
      <c r="E1831" s="1"/>
      <c r="F1831" s="1"/>
      <c r="G1831" s="1"/>
      <c r="H1831" s="1"/>
      <c r="I1831" s="1"/>
      <c r="J1831" s="1"/>
      <c r="K1831" s="1"/>
    </row>
    <row r="1832" spans="1:11" ht="15">
      <c r="A1832" s="1"/>
      <c r="B1832" s="1"/>
      <c r="C1832" s="1"/>
      <c r="D1832" s="1"/>
      <c r="E1832" s="1"/>
      <c r="F1832" s="1"/>
      <c r="G1832" s="1"/>
      <c r="H1832" s="1"/>
      <c r="I1832" s="1"/>
      <c r="J1832" s="1"/>
      <c r="K1832" s="1"/>
    </row>
    <row r="1833" spans="1:11" ht="15">
      <c r="A1833" s="1"/>
      <c r="B1833" s="1"/>
      <c r="C1833" s="1"/>
      <c r="D1833" s="1"/>
      <c r="E1833" s="1"/>
      <c r="F1833" s="1"/>
      <c r="G1833" s="1"/>
      <c r="H1833" s="1"/>
      <c r="I1833" s="1"/>
      <c r="J1833" s="1"/>
      <c r="K1833" s="1"/>
    </row>
    <row r="1834" spans="1:11" ht="15">
      <c r="A1834" s="1"/>
      <c r="B1834" s="1"/>
      <c r="C1834" s="1"/>
      <c r="D1834" s="1"/>
      <c r="E1834" s="1"/>
      <c r="F1834" s="1"/>
      <c r="G1834" s="1"/>
      <c r="H1834" s="1"/>
      <c r="I1834" s="1"/>
      <c r="J1834" s="1"/>
      <c r="K1834" s="1"/>
    </row>
    <row r="1835" spans="1:11" ht="15">
      <c r="A1835" s="1"/>
      <c r="B1835" s="1"/>
      <c r="C1835" s="1"/>
      <c r="D1835" s="1"/>
      <c r="E1835" s="1"/>
      <c r="F1835" s="1"/>
      <c r="G1835" s="1"/>
      <c r="H1835" s="1"/>
      <c r="I1835" s="1"/>
      <c r="J1835" s="1"/>
      <c r="K1835" s="1"/>
    </row>
    <row r="1836" spans="1:11" ht="15">
      <c r="A1836" s="1"/>
      <c r="B1836" s="1"/>
      <c r="C1836" s="1"/>
      <c r="D1836" s="1"/>
      <c r="E1836" s="1"/>
      <c r="F1836" s="1"/>
      <c r="G1836" s="1"/>
      <c r="H1836" s="1"/>
      <c r="I1836" s="1"/>
      <c r="J1836" s="1"/>
      <c r="K1836" s="1"/>
    </row>
    <row r="1837" spans="1:11" ht="15">
      <c r="A1837" s="1"/>
      <c r="B1837" s="1"/>
      <c r="C1837" s="1"/>
      <c r="D1837" s="1"/>
      <c r="E1837" s="1"/>
      <c r="F1837" s="1"/>
      <c r="G1837" s="1"/>
      <c r="H1837" s="1"/>
      <c r="I1837" s="1"/>
      <c r="J1837" s="1"/>
      <c r="K1837" s="1"/>
    </row>
    <row r="1838" spans="1:11" ht="15">
      <c r="A1838" s="1"/>
      <c r="B1838" s="1"/>
      <c r="C1838" s="1"/>
      <c r="D1838" s="1"/>
      <c r="E1838" s="1"/>
      <c r="F1838" s="1"/>
      <c r="G1838" s="1"/>
      <c r="H1838" s="1"/>
      <c r="I1838" s="1"/>
      <c r="J1838" s="1"/>
      <c r="K1838" s="1"/>
    </row>
    <row r="1839" spans="1:11" ht="15">
      <c r="A1839" s="1"/>
      <c r="B1839" s="1"/>
      <c r="C1839" s="1"/>
      <c r="D1839" s="1"/>
      <c r="E1839" s="1"/>
      <c r="F1839" s="1"/>
      <c r="G1839" s="1"/>
      <c r="H1839" s="1"/>
      <c r="I1839" s="1"/>
      <c r="J1839" s="1"/>
      <c r="K1839" s="1"/>
    </row>
    <row r="1840" spans="1:11" ht="15">
      <c r="A1840" s="1"/>
      <c r="B1840" s="1"/>
      <c r="C1840" s="1"/>
      <c r="D1840" s="1"/>
      <c r="E1840" s="1"/>
      <c r="F1840" s="1"/>
      <c r="G1840" s="1"/>
      <c r="H1840" s="1"/>
      <c r="I1840" s="1"/>
      <c r="J1840" s="1"/>
      <c r="K1840" s="1"/>
    </row>
    <row r="1841" spans="1:11" ht="15">
      <c r="A1841" s="1"/>
      <c r="B1841" s="1"/>
      <c r="C1841" s="1"/>
      <c r="D1841" s="1"/>
      <c r="E1841" s="1"/>
      <c r="F1841" s="1"/>
      <c r="G1841" s="1"/>
      <c r="H1841" s="1"/>
      <c r="I1841" s="1"/>
      <c r="J1841" s="1"/>
      <c r="K1841" s="1"/>
    </row>
    <row r="1842" spans="1:11" ht="15">
      <c r="A1842" s="1"/>
      <c r="B1842" s="1"/>
      <c r="C1842" s="1"/>
      <c r="D1842" s="1"/>
      <c r="E1842" s="1"/>
      <c r="F1842" s="1"/>
      <c r="G1842" s="1"/>
      <c r="H1842" s="1"/>
      <c r="I1842" s="1"/>
      <c r="J1842" s="1"/>
      <c r="K1842" s="1"/>
    </row>
    <row r="1843" spans="1:11" ht="15">
      <c r="A1843" s="1"/>
      <c r="B1843" s="1"/>
      <c r="C1843" s="1"/>
      <c r="D1843" s="1"/>
      <c r="E1843" s="1"/>
      <c r="F1843" s="1"/>
      <c r="G1843" s="1"/>
      <c r="H1843" s="1"/>
      <c r="I1843" s="1"/>
      <c r="J1843" s="1"/>
      <c r="K1843" s="1"/>
    </row>
    <row r="1844" spans="1:11" ht="15">
      <c r="A1844" s="1"/>
      <c r="B1844" s="1"/>
      <c r="C1844" s="1"/>
      <c r="D1844" s="1"/>
      <c r="E1844" s="1"/>
      <c r="F1844" s="1"/>
      <c r="G1844" s="1"/>
      <c r="H1844" s="1"/>
      <c r="I1844" s="1"/>
      <c r="J1844" s="1"/>
      <c r="K1844" s="1"/>
    </row>
    <row r="1845" spans="1:11" ht="15">
      <c r="A1845" s="1"/>
      <c r="B1845" s="1"/>
      <c r="C1845" s="1"/>
      <c r="D1845" s="1"/>
      <c r="E1845" s="1"/>
      <c r="F1845" s="1"/>
      <c r="G1845" s="1"/>
      <c r="H1845" s="1"/>
      <c r="I1845" s="1"/>
      <c r="J1845" s="1"/>
      <c r="K1845" s="1"/>
    </row>
    <row r="1846" spans="1:11" ht="15">
      <c r="A1846" s="1"/>
      <c r="B1846" s="1"/>
      <c r="C1846" s="1"/>
      <c r="D1846" s="1"/>
      <c r="E1846" s="1"/>
      <c r="F1846" s="1"/>
      <c r="G1846" s="1"/>
      <c r="H1846" s="1"/>
      <c r="I1846" s="1"/>
      <c r="J1846" s="1"/>
      <c r="K1846" s="1"/>
    </row>
    <row r="1847" spans="1:11" ht="15">
      <c r="A1847" s="1"/>
      <c r="B1847" s="1"/>
      <c r="C1847" s="1"/>
      <c r="D1847" s="1"/>
      <c r="E1847" s="1"/>
      <c r="F1847" s="1"/>
      <c r="G1847" s="1"/>
      <c r="H1847" s="1"/>
      <c r="I1847" s="1"/>
      <c r="J1847" s="1"/>
      <c r="K1847" s="1"/>
    </row>
    <row r="1848" spans="1:11" ht="15">
      <c r="A1848" s="1"/>
      <c r="B1848" s="1"/>
      <c r="C1848" s="1"/>
      <c r="D1848" s="1"/>
      <c r="E1848" s="1"/>
      <c r="F1848" s="1"/>
      <c r="G1848" s="1"/>
      <c r="H1848" s="1"/>
      <c r="I1848" s="1"/>
      <c r="J1848" s="1"/>
      <c r="K1848" s="1"/>
    </row>
    <row r="1849" spans="1:11" ht="15">
      <c r="A1849" s="1"/>
      <c r="B1849" s="1"/>
      <c r="C1849" s="1"/>
      <c r="D1849" s="1"/>
      <c r="E1849" s="1"/>
      <c r="F1849" s="1"/>
      <c r="G1849" s="1"/>
      <c r="H1849" s="1"/>
      <c r="I1849" s="1"/>
      <c r="J1849" s="1"/>
      <c r="K1849" s="1"/>
    </row>
    <row r="1850" spans="1:11" ht="15">
      <c r="A1850" s="1"/>
      <c r="B1850" s="1"/>
      <c r="C1850" s="1"/>
      <c r="D1850" s="1"/>
      <c r="E1850" s="1"/>
      <c r="F1850" s="1"/>
      <c r="G1850" s="1"/>
      <c r="H1850" s="1"/>
      <c r="I1850" s="1"/>
      <c r="J1850" s="1"/>
      <c r="K1850" s="1"/>
    </row>
    <row r="1851" spans="1:11" ht="15">
      <c r="A1851" s="1"/>
      <c r="B1851" s="1"/>
      <c r="C1851" s="1"/>
      <c r="D1851" s="1"/>
      <c r="E1851" s="1"/>
      <c r="F1851" s="1"/>
      <c r="G1851" s="1"/>
      <c r="H1851" s="1"/>
      <c r="I1851" s="1"/>
      <c r="J1851" s="1"/>
      <c r="K1851" s="1"/>
    </row>
    <row r="1852" spans="1:11" ht="15">
      <c r="A1852" s="1"/>
      <c r="B1852" s="1"/>
      <c r="C1852" s="1"/>
      <c r="D1852" s="1"/>
      <c r="E1852" s="1"/>
      <c r="F1852" s="1"/>
      <c r="G1852" s="1"/>
      <c r="H1852" s="1"/>
      <c r="I1852" s="1"/>
      <c r="J1852" s="1"/>
      <c r="K1852" s="1"/>
    </row>
    <row r="1853" spans="1:11" ht="15">
      <c r="A1853" s="1"/>
      <c r="B1853" s="1"/>
      <c r="C1853" s="1"/>
      <c r="D1853" s="1"/>
      <c r="E1853" s="1"/>
      <c r="F1853" s="1"/>
      <c r="G1853" s="1"/>
      <c r="H1853" s="1"/>
      <c r="I1853" s="1"/>
      <c r="J1853" s="1"/>
      <c r="K1853" s="1"/>
    </row>
    <row r="1854" spans="1:11" ht="15">
      <c r="A1854" s="1"/>
      <c r="B1854" s="1"/>
      <c r="C1854" s="1"/>
      <c r="D1854" s="1"/>
      <c r="E1854" s="1"/>
      <c r="F1854" s="1"/>
      <c r="G1854" s="1"/>
      <c r="H1854" s="1"/>
      <c r="I1854" s="1"/>
      <c r="J1854" s="1"/>
      <c r="K1854" s="1"/>
    </row>
    <row r="1855" spans="1:11" ht="15">
      <c r="A1855" s="1"/>
      <c r="B1855" s="1"/>
      <c r="C1855" s="1"/>
      <c r="D1855" s="1"/>
      <c r="E1855" s="1"/>
      <c r="F1855" s="1"/>
      <c r="G1855" s="1"/>
      <c r="H1855" s="1"/>
      <c r="I1855" s="1"/>
      <c r="J1855" s="1"/>
      <c r="K1855" s="1"/>
    </row>
    <row r="1856" spans="1:11" ht="15">
      <c r="A1856" s="1"/>
      <c r="B1856" s="1"/>
      <c r="C1856" s="1"/>
      <c r="D1856" s="1"/>
      <c r="E1856" s="1"/>
      <c r="F1856" s="1"/>
      <c r="G1856" s="1"/>
      <c r="H1856" s="1"/>
      <c r="I1856" s="1"/>
      <c r="J1856" s="1"/>
      <c r="K1856" s="1"/>
    </row>
    <row r="1857" spans="1:11" ht="15">
      <c r="A1857" s="1"/>
      <c r="B1857" s="1"/>
      <c r="C1857" s="1"/>
      <c r="D1857" s="1"/>
      <c r="E1857" s="1"/>
      <c r="F1857" s="1"/>
      <c r="G1857" s="1"/>
      <c r="H1857" s="1"/>
      <c r="I1857" s="1"/>
      <c r="J1857" s="1"/>
      <c r="K1857" s="1"/>
    </row>
    <row r="1858" spans="1:11" ht="15">
      <c r="A1858" s="1"/>
      <c r="B1858" s="1"/>
      <c r="C1858" s="1"/>
      <c r="D1858" s="1"/>
      <c r="E1858" s="1"/>
      <c r="F1858" s="1"/>
      <c r="G1858" s="1"/>
      <c r="H1858" s="1"/>
      <c r="I1858" s="1"/>
      <c r="J1858" s="1"/>
      <c r="K1858" s="1"/>
    </row>
    <row r="1859" spans="1:11" ht="15">
      <c r="A1859" s="1"/>
      <c r="B1859" s="1"/>
      <c r="C1859" s="1"/>
      <c r="D1859" s="1"/>
      <c r="E1859" s="1"/>
      <c r="F1859" s="1"/>
      <c r="G1859" s="1"/>
      <c r="H1859" s="1"/>
      <c r="I1859" s="1"/>
      <c r="J1859" s="1"/>
      <c r="K1859" s="1"/>
    </row>
    <row r="1860" spans="1:11" ht="15">
      <c r="A1860" s="1"/>
      <c r="B1860" s="1"/>
      <c r="C1860" s="1"/>
      <c r="D1860" s="1"/>
      <c r="E1860" s="1"/>
      <c r="F1860" s="1"/>
      <c r="G1860" s="1"/>
      <c r="H1860" s="1"/>
      <c r="I1860" s="1"/>
      <c r="J1860" s="1"/>
      <c r="K1860" s="1"/>
    </row>
    <row r="1861" spans="1:11" ht="15">
      <c r="A1861" s="1"/>
      <c r="B1861" s="1"/>
      <c r="C1861" s="1"/>
      <c r="D1861" s="1"/>
      <c r="E1861" s="1"/>
      <c r="F1861" s="1"/>
      <c r="G1861" s="1"/>
      <c r="H1861" s="1"/>
      <c r="I1861" s="1"/>
      <c r="J1861" s="1"/>
      <c r="K1861" s="1"/>
    </row>
    <row r="1862" spans="1:11" ht="15">
      <c r="A1862" s="1"/>
      <c r="B1862" s="1"/>
      <c r="C1862" s="1"/>
      <c r="D1862" s="1"/>
      <c r="E1862" s="1"/>
      <c r="F1862" s="1"/>
      <c r="G1862" s="1"/>
      <c r="H1862" s="1"/>
      <c r="I1862" s="1"/>
      <c r="J1862" s="1"/>
      <c r="K1862" s="1"/>
    </row>
    <row r="1863" spans="1:11" ht="15">
      <c r="A1863" s="1"/>
      <c r="B1863" s="1"/>
      <c r="C1863" s="1"/>
      <c r="D1863" s="1"/>
      <c r="E1863" s="1"/>
      <c r="F1863" s="1"/>
      <c r="G1863" s="1"/>
      <c r="H1863" s="1"/>
      <c r="I1863" s="1"/>
      <c r="J1863" s="1"/>
      <c r="K1863" s="1"/>
    </row>
    <row r="1864" spans="1:11" ht="15">
      <c r="A1864" s="1"/>
      <c r="B1864" s="1"/>
      <c r="C1864" s="1"/>
      <c r="D1864" s="1"/>
      <c r="E1864" s="1"/>
      <c r="F1864" s="1"/>
      <c r="G1864" s="1"/>
      <c r="H1864" s="1"/>
      <c r="I1864" s="1"/>
      <c r="J1864" s="1"/>
      <c r="K1864" s="1"/>
    </row>
    <row r="1865" spans="1:11" ht="15">
      <c r="A1865" s="1"/>
      <c r="B1865" s="1"/>
      <c r="C1865" s="1"/>
      <c r="D1865" s="1"/>
      <c r="E1865" s="1"/>
      <c r="F1865" s="1"/>
      <c r="G1865" s="1"/>
      <c r="H1865" s="1"/>
      <c r="I1865" s="1"/>
      <c r="J1865" s="1"/>
      <c r="K1865" s="1"/>
    </row>
    <row r="1866" spans="1:11" ht="15">
      <c r="A1866" s="1"/>
      <c r="B1866" s="1"/>
      <c r="C1866" s="1"/>
      <c r="D1866" s="1"/>
      <c r="E1866" s="1"/>
      <c r="F1866" s="1"/>
      <c r="G1866" s="1"/>
      <c r="H1866" s="1"/>
      <c r="I1866" s="1"/>
      <c r="J1866" s="1"/>
      <c r="K1866" s="1"/>
    </row>
    <row r="1867" spans="1:11" ht="15">
      <c r="A1867" s="1"/>
      <c r="B1867" s="1"/>
      <c r="C1867" s="1"/>
      <c r="D1867" s="1"/>
      <c r="E1867" s="1"/>
      <c r="F1867" s="1"/>
      <c r="G1867" s="1"/>
      <c r="H1867" s="1"/>
      <c r="I1867" s="1"/>
      <c r="J1867" s="1"/>
      <c r="K1867" s="1"/>
    </row>
    <row r="1868" spans="1:11" ht="15">
      <c r="A1868" s="1"/>
      <c r="B1868" s="1"/>
      <c r="C1868" s="1"/>
      <c r="D1868" s="1"/>
      <c r="E1868" s="1"/>
      <c r="F1868" s="1"/>
      <c r="G1868" s="1"/>
      <c r="H1868" s="1"/>
      <c r="I1868" s="1"/>
      <c r="J1868" s="1"/>
      <c r="K1868" s="1"/>
    </row>
    <row r="1869" spans="1:11" ht="15">
      <c r="A1869" s="1"/>
      <c r="B1869" s="1"/>
      <c r="C1869" s="1"/>
      <c r="D1869" s="1"/>
      <c r="E1869" s="1"/>
      <c r="F1869" s="1"/>
      <c r="G1869" s="1"/>
      <c r="H1869" s="1"/>
      <c r="I1869" s="1"/>
      <c r="J1869" s="1"/>
      <c r="K1869" s="1"/>
    </row>
    <row r="1870" spans="1:11" ht="15">
      <c r="A1870" s="1"/>
      <c r="B1870" s="1"/>
      <c r="C1870" s="1"/>
      <c r="D1870" s="1"/>
      <c r="E1870" s="1"/>
      <c r="F1870" s="1"/>
      <c r="G1870" s="1"/>
      <c r="H1870" s="1"/>
      <c r="I1870" s="1"/>
      <c r="J1870" s="1"/>
      <c r="K1870" s="1"/>
    </row>
    <row r="1871" spans="1:11" ht="15">
      <c r="A1871" s="1"/>
      <c r="B1871" s="1"/>
      <c r="C1871" s="1"/>
      <c r="D1871" s="1"/>
      <c r="E1871" s="1"/>
      <c r="F1871" s="1"/>
      <c r="G1871" s="1"/>
      <c r="H1871" s="1"/>
      <c r="I1871" s="1"/>
      <c r="J1871" s="1"/>
      <c r="K1871" s="1"/>
    </row>
    <row r="1872" spans="1:11" ht="15">
      <c r="A1872" s="1"/>
      <c r="B1872" s="1"/>
      <c r="C1872" s="1"/>
      <c r="D1872" s="1"/>
      <c r="E1872" s="1"/>
      <c r="F1872" s="1"/>
      <c r="G1872" s="1"/>
      <c r="H1872" s="1"/>
      <c r="I1872" s="1"/>
      <c r="J1872" s="1"/>
      <c r="K1872" s="1"/>
    </row>
    <row r="1873" spans="1:11" ht="15">
      <c r="A1873" s="1"/>
      <c r="B1873" s="1"/>
      <c r="C1873" s="1"/>
      <c r="D1873" s="1"/>
      <c r="E1873" s="1"/>
      <c r="F1873" s="1"/>
      <c r="G1873" s="1"/>
      <c r="H1873" s="1"/>
      <c r="I1873" s="1"/>
      <c r="J1873" s="1"/>
      <c r="K1873" s="1"/>
    </row>
    <row r="1874" spans="1:11" ht="15">
      <c r="A1874" s="1"/>
      <c r="B1874" s="1"/>
      <c r="C1874" s="1"/>
      <c r="D1874" s="1"/>
      <c r="E1874" s="1"/>
      <c r="F1874" s="1"/>
      <c r="G1874" s="1"/>
      <c r="H1874" s="1"/>
      <c r="I1874" s="1"/>
      <c r="J1874" s="1"/>
      <c r="K1874" s="1"/>
    </row>
    <row r="1875" spans="1:11" ht="15">
      <c r="A1875" s="1"/>
      <c r="B1875" s="1"/>
      <c r="C1875" s="1"/>
      <c r="D1875" s="1"/>
      <c r="E1875" s="1"/>
      <c r="F1875" s="1"/>
      <c r="G1875" s="1"/>
      <c r="H1875" s="1"/>
      <c r="I1875" s="1"/>
      <c r="J1875" s="1"/>
      <c r="K1875" s="1"/>
    </row>
    <row r="1876" spans="1:11" ht="15">
      <c r="A1876" s="1"/>
      <c r="B1876" s="1"/>
      <c r="C1876" s="1"/>
      <c r="D1876" s="1"/>
      <c r="E1876" s="1"/>
      <c r="F1876" s="1"/>
      <c r="G1876" s="1"/>
      <c r="H1876" s="1"/>
      <c r="I1876" s="1"/>
      <c r="J1876" s="1"/>
      <c r="K1876" s="1"/>
    </row>
    <row r="1877" spans="1:11" ht="15">
      <c r="A1877" s="1"/>
      <c r="B1877" s="1"/>
      <c r="C1877" s="1"/>
      <c r="D1877" s="1"/>
      <c r="E1877" s="1"/>
      <c r="F1877" s="1"/>
      <c r="G1877" s="1"/>
      <c r="H1877" s="1"/>
      <c r="I1877" s="1"/>
      <c r="J1877" s="1"/>
      <c r="K1877" s="1"/>
    </row>
    <row r="1878" spans="1:11" ht="15">
      <c r="A1878" s="1"/>
      <c r="B1878" s="1"/>
      <c r="C1878" s="1"/>
      <c r="D1878" s="1"/>
      <c r="E1878" s="1"/>
      <c r="F1878" s="1"/>
      <c r="G1878" s="1"/>
      <c r="H1878" s="1"/>
      <c r="I1878" s="1"/>
      <c r="J1878" s="1"/>
      <c r="K1878" s="1"/>
    </row>
    <row r="1879" spans="1:11" ht="15">
      <c r="A1879" s="1"/>
      <c r="B1879" s="1"/>
      <c r="C1879" s="1"/>
      <c r="D1879" s="1"/>
      <c r="E1879" s="1"/>
      <c r="F1879" s="1"/>
      <c r="G1879" s="1"/>
      <c r="H1879" s="1"/>
      <c r="I1879" s="1"/>
      <c r="J1879" s="1"/>
      <c r="K1879" s="1"/>
    </row>
    <row r="1880" spans="1:11" ht="15">
      <c r="A1880" s="1"/>
      <c r="B1880" s="1"/>
      <c r="C1880" s="1"/>
      <c r="D1880" s="1"/>
      <c r="E1880" s="1"/>
      <c r="F1880" s="1"/>
      <c r="G1880" s="1"/>
      <c r="H1880" s="1"/>
      <c r="I1880" s="1"/>
      <c r="J1880" s="1"/>
      <c r="K1880" s="1"/>
    </row>
    <row r="1881" spans="1:11" ht="15">
      <c r="A1881" s="1"/>
      <c r="B1881" s="1"/>
      <c r="C1881" s="1"/>
      <c r="D1881" s="1"/>
      <c r="E1881" s="1"/>
      <c r="F1881" s="1"/>
      <c r="G1881" s="1"/>
      <c r="H1881" s="1"/>
      <c r="I1881" s="1"/>
      <c r="J1881" s="1"/>
      <c r="K1881" s="1"/>
    </row>
    <row r="1882" spans="1:11" ht="15">
      <c r="A1882" s="1"/>
      <c r="B1882" s="1"/>
      <c r="C1882" s="1"/>
      <c r="D1882" s="1"/>
      <c r="E1882" s="1"/>
      <c r="F1882" s="1"/>
      <c r="G1882" s="1"/>
      <c r="H1882" s="1"/>
      <c r="I1882" s="1"/>
      <c r="J1882" s="1"/>
      <c r="K1882" s="1"/>
    </row>
    <row r="1883" spans="1:11" ht="15">
      <c r="A1883" s="1"/>
      <c r="B1883" s="1"/>
      <c r="C1883" s="1"/>
      <c r="D1883" s="1"/>
      <c r="E1883" s="1"/>
      <c r="F1883" s="1"/>
      <c r="G1883" s="1"/>
      <c r="H1883" s="1"/>
      <c r="I1883" s="1"/>
      <c r="J1883" s="1"/>
      <c r="K1883" s="1"/>
    </row>
    <row r="1884" spans="1:11" ht="15">
      <c r="A1884" s="1"/>
      <c r="B1884" s="1"/>
      <c r="C1884" s="1"/>
      <c r="D1884" s="1"/>
      <c r="E1884" s="1"/>
      <c r="F1884" s="1"/>
      <c r="G1884" s="1"/>
      <c r="H1884" s="1"/>
      <c r="I1884" s="1"/>
      <c r="J1884" s="1"/>
      <c r="K1884" s="1"/>
    </row>
    <row r="1885" spans="1:11" ht="15">
      <c r="A1885" s="1"/>
      <c r="B1885" s="1"/>
      <c r="C1885" s="1"/>
      <c r="D1885" s="1"/>
      <c r="E1885" s="1"/>
      <c r="F1885" s="1"/>
      <c r="G1885" s="1"/>
      <c r="H1885" s="1"/>
      <c r="I1885" s="1"/>
      <c r="J1885" s="1"/>
      <c r="K1885" s="1"/>
    </row>
    <row r="1886" spans="1:11" ht="15">
      <c r="A1886" s="1"/>
      <c r="B1886" s="1"/>
      <c r="C1886" s="1"/>
      <c r="D1886" s="1"/>
      <c r="E1886" s="1"/>
      <c r="F1886" s="1"/>
      <c r="G1886" s="1"/>
      <c r="H1886" s="1"/>
      <c r="I1886" s="1"/>
      <c r="J1886" s="1"/>
      <c r="K1886" s="1"/>
    </row>
    <row r="1887" spans="1:11" ht="15">
      <c r="A1887" s="1"/>
      <c r="B1887" s="1"/>
      <c r="C1887" s="1"/>
      <c r="D1887" s="1"/>
      <c r="E1887" s="1"/>
      <c r="F1887" s="1"/>
      <c r="G1887" s="1"/>
      <c r="H1887" s="1"/>
      <c r="I1887" s="1"/>
      <c r="J1887" s="1"/>
      <c r="K1887" s="1"/>
    </row>
    <row r="1888" spans="1:11" ht="15">
      <c r="A1888" s="1"/>
      <c r="B1888" s="1"/>
      <c r="C1888" s="1"/>
      <c r="D1888" s="1"/>
      <c r="E1888" s="1"/>
      <c r="F1888" s="1"/>
      <c r="G1888" s="1"/>
      <c r="H1888" s="1"/>
      <c r="I1888" s="1"/>
      <c r="J1888" s="1"/>
      <c r="K1888" s="1"/>
    </row>
    <row r="1889" spans="1:11" ht="15">
      <c r="A1889" s="1"/>
      <c r="B1889" s="1"/>
      <c r="C1889" s="1"/>
      <c r="D1889" s="1"/>
      <c r="E1889" s="1"/>
      <c r="F1889" s="1"/>
      <c r="G1889" s="1"/>
      <c r="H1889" s="1"/>
      <c r="I1889" s="1"/>
      <c r="J1889" s="1"/>
      <c r="K1889" s="1"/>
    </row>
    <row r="1890" spans="1:11" ht="15">
      <c r="A1890" s="1"/>
      <c r="B1890" s="1"/>
      <c r="C1890" s="1"/>
      <c r="D1890" s="1"/>
      <c r="E1890" s="1"/>
      <c r="F1890" s="1"/>
      <c r="G1890" s="1"/>
      <c r="H1890" s="1"/>
      <c r="I1890" s="1"/>
      <c r="J1890" s="1"/>
      <c r="K1890" s="1"/>
    </row>
    <row r="1891" spans="1:11" ht="15">
      <c r="A1891" s="1"/>
      <c r="B1891" s="1"/>
      <c r="C1891" s="1"/>
      <c r="D1891" s="1"/>
      <c r="E1891" s="1"/>
      <c r="F1891" s="1"/>
      <c r="G1891" s="1"/>
      <c r="H1891" s="1"/>
      <c r="I1891" s="1"/>
      <c r="J1891" s="1"/>
      <c r="K1891" s="1"/>
    </row>
    <row r="1892" spans="1:11" ht="15">
      <c r="A1892" s="1"/>
      <c r="B1892" s="1"/>
      <c r="C1892" s="1"/>
      <c r="D1892" s="1"/>
      <c r="E1892" s="1"/>
      <c r="F1892" s="1"/>
      <c r="G1892" s="1"/>
      <c r="H1892" s="1"/>
      <c r="I1892" s="1"/>
      <c r="J1892" s="1"/>
      <c r="K1892" s="1"/>
    </row>
    <row r="1893" spans="1:11" ht="15">
      <c r="A1893" s="1"/>
      <c r="B1893" s="1"/>
      <c r="C1893" s="1"/>
      <c r="D1893" s="1"/>
      <c r="E1893" s="1"/>
      <c r="F1893" s="1"/>
      <c r="G1893" s="1"/>
      <c r="H1893" s="1"/>
      <c r="I1893" s="1"/>
      <c r="J1893" s="1"/>
      <c r="K1893" s="1"/>
    </row>
    <row r="1894" spans="1:11" ht="15">
      <c r="A1894" s="1"/>
      <c r="B1894" s="1"/>
      <c r="C1894" s="1"/>
      <c r="D1894" s="1"/>
      <c r="E1894" s="1"/>
      <c r="F1894" s="1"/>
      <c r="G1894" s="1"/>
      <c r="H1894" s="1"/>
      <c r="I1894" s="1"/>
      <c r="J1894" s="1"/>
      <c r="K1894" s="1"/>
    </row>
    <row r="1895" spans="1:11" ht="15">
      <c r="A1895" s="1"/>
      <c r="B1895" s="1"/>
      <c r="C1895" s="1"/>
      <c r="D1895" s="1"/>
      <c r="E1895" s="1"/>
      <c r="F1895" s="1"/>
      <c r="G1895" s="1"/>
      <c r="H1895" s="1"/>
      <c r="I1895" s="1"/>
      <c r="J1895" s="1"/>
      <c r="K1895" s="1"/>
    </row>
    <row r="1896" spans="1:11" ht="15">
      <c r="A1896" s="1"/>
      <c r="B1896" s="1"/>
      <c r="C1896" s="1"/>
      <c r="D1896" s="1"/>
      <c r="E1896" s="1"/>
      <c r="F1896" s="1"/>
      <c r="G1896" s="1"/>
      <c r="H1896" s="1"/>
      <c r="I1896" s="1"/>
      <c r="J1896" s="1"/>
      <c r="K1896" s="1"/>
    </row>
    <row r="1897" spans="1:11" ht="15">
      <c r="A1897" s="1"/>
      <c r="B1897" s="1"/>
      <c r="C1897" s="1"/>
      <c r="D1897" s="1"/>
      <c r="E1897" s="1"/>
      <c r="F1897" s="1"/>
      <c r="G1897" s="1"/>
      <c r="H1897" s="1"/>
      <c r="I1897" s="1"/>
      <c r="J1897" s="1"/>
      <c r="K1897" s="1"/>
    </row>
    <row r="1898" spans="1:11" ht="15">
      <c r="A1898" s="1"/>
      <c r="B1898" s="1"/>
      <c r="C1898" s="1"/>
      <c r="D1898" s="1"/>
      <c r="E1898" s="1"/>
      <c r="F1898" s="1"/>
      <c r="G1898" s="1"/>
      <c r="H1898" s="1"/>
      <c r="I1898" s="1"/>
      <c r="J1898" s="1"/>
      <c r="K1898" s="1"/>
    </row>
    <row r="1899" spans="1:11" ht="15">
      <c r="A1899" s="1"/>
      <c r="B1899" s="1"/>
      <c r="C1899" s="1"/>
      <c r="D1899" s="1"/>
      <c r="E1899" s="1"/>
      <c r="F1899" s="1"/>
      <c r="G1899" s="1"/>
      <c r="H1899" s="1"/>
      <c r="I1899" s="1"/>
      <c r="J1899" s="1"/>
      <c r="K1899" s="1"/>
    </row>
    <row r="1900" spans="1:11" ht="15">
      <c r="A1900" s="1"/>
      <c r="B1900" s="1"/>
      <c r="C1900" s="1"/>
      <c r="D1900" s="1"/>
      <c r="E1900" s="1"/>
      <c r="F1900" s="1"/>
      <c r="G1900" s="1"/>
      <c r="H1900" s="1"/>
      <c r="I1900" s="1"/>
      <c r="J1900" s="1"/>
      <c r="K1900" s="1"/>
    </row>
    <row r="1901" spans="1:11" ht="15">
      <c r="A1901" s="1"/>
      <c r="B1901" s="1"/>
      <c r="C1901" s="1"/>
      <c r="D1901" s="1"/>
      <c r="E1901" s="1"/>
      <c r="F1901" s="1"/>
      <c r="G1901" s="1"/>
      <c r="H1901" s="1"/>
      <c r="I1901" s="1"/>
      <c r="J1901" s="1"/>
      <c r="K1901" s="1"/>
    </row>
    <row r="1902" spans="1:11" ht="15">
      <c r="A1902" s="1"/>
      <c r="B1902" s="1"/>
      <c r="C1902" s="1"/>
      <c r="D1902" s="1"/>
      <c r="E1902" s="1"/>
      <c r="F1902" s="1"/>
      <c r="G1902" s="1"/>
      <c r="H1902" s="1"/>
      <c r="I1902" s="1"/>
      <c r="J1902" s="1"/>
      <c r="K1902" s="1"/>
    </row>
    <row r="1903" spans="1:11" ht="15">
      <c r="A1903" s="1"/>
      <c r="B1903" s="1"/>
      <c r="C1903" s="1"/>
      <c r="D1903" s="1"/>
      <c r="E1903" s="1"/>
      <c r="F1903" s="1"/>
      <c r="G1903" s="1"/>
      <c r="H1903" s="1"/>
      <c r="I1903" s="1"/>
      <c r="J1903" s="1"/>
      <c r="K1903" s="1"/>
    </row>
    <row r="1904" spans="1:11" ht="15">
      <c r="A1904" s="1"/>
      <c r="B1904" s="1"/>
      <c r="C1904" s="1"/>
      <c r="D1904" s="1"/>
      <c r="E1904" s="1"/>
      <c r="F1904" s="1"/>
      <c r="G1904" s="1"/>
      <c r="H1904" s="1"/>
      <c r="I1904" s="1"/>
      <c r="J1904" s="1"/>
      <c r="K1904" s="1"/>
    </row>
    <row r="1905" spans="1:11" ht="15">
      <c r="A1905" s="1"/>
      <c r="B1905" s="1"/>
      <c r="C1905" s="1"/>
      <c r="D1905" s="1"/>
      <c r="E1905" s="1"/>
      <c r="F1905" s="1"/>
      <c r="G1905" s="1"/>
      <c r="H1905" s="1"/>
      <c r="I1905" s="1"/>
      <c r="J1905" s="1"/>
      <c r="K1905" s="1"/>
    </row>
    <row r="1906" spans="1:11" ht="15">
      <c r="A1906" s="1"/>
      <c r="B1906" s="1"/>
      <c r="C1906" s="1"/>
      <c r="D1906" s="1"/>
      <c r="E1906" s="1"/>
      <c r="F1906" s="1"/>
      <c r="G1906" s="1"/>
      <c r="H1906" s="1"/>
      <c r="I1906" s="1"/>
      <c r="J1906" s="1"/>
      <c r="K1906" s="1"/>
    </row>
    <row r="1907" spans="1:11" ht="15">
      <c r="A1907" s="1"/>
      <c r="B1907" s="1"/>
      <c r="C1907" s="1"/>
      <c r="D1907" s="1"/>
      <c r="E1907" s="1"/>
      <c r="F1907" s="1"/>
      <c r="G1907" s="1"/>
      <c r="H1907" s="1"/>
      <c r="I1907" s="1"/>
      <c r="J1907" s="1"/>
      <c r="K1907" s="1"/>
    </row>
    <row r="1908" spans="1:11" ht="15">
      <c r="A1908" s="1"/>
      <c r="B1908" s="1"/>
      <c r="C1908" s="1"/>
      <c r="D1908" s="1"/>
      <c r="E1908" s="1"/>
      <c r="F1908" s="1"/>
      <c r="G1908" s="1"/>
      <c r="H1908" s="1"/>
      <c r="I1908" s="1"/>
      <c r="J1908" s="1"/>
      <c r="K1908" s="1"/>
    </row>
    <row r="1909" spans="1:11" ht="15">
      <c r="A1909" s="1"/>
      <c r="B1909" s="1"/>
      <c r="C1909" s="1"/>
      <c r="D1909" s="1"/>
      <c r="E1909" s="1"/>
      <c r="F1909" s="1"/>
      <c r="G1909" s="1"/>
      <c r="H1909" s="1"/>
      <c r="I1909" s="1"/>
      <c r="J1909" s="1"/>
      <c r="K1909" s="1"/>
    </row>
    <row r="1910" spans="1:11" ht="15">
      <c r="A1910" s="1"/>
      <c r="B1910" s="1"/>
      <c r="C1910" s="1"/>
      <c r="D1910" s="1"/>
      <c r="E1910" s="1"/>
      <c r="F1910" s="1"/>
      <c r="G1910" s="1"/>
      <c r="H1910" s="1"/>
      <c r="I1910" s="1"/>
      <c r="J1910" s="1"/>
      <c r="K1910" s="1"/>
    </row>
    <row r="1911" spans="1:11" ht="15">
      <c r="A1911" s="1"/>
      <c r="B1911" s="1"/>
      <c r="C1911" s="1"/>
      <c r="D1911" s="1"/>
      <c r="E1911" s="1"/>
      <c r="F1911" s="1"/>
      <c r="G1911" s="1"/>
      <c r="H1911" s="1"/>
      <c r="I1911" s="1"/>
      <c r="J1911" s="1"/>
      <c r="K1911" s="1"/>
    </row>
    <row r="1912" spans="1:11" ht="15">
      <c r="A1912" s="1"/>
      <c r="B1912" s="1"/>
      <c r="C1912" s="1"/>
      <c r="D1912" s="1"/>
      <c r="E1912" s="1"/>
      <c r="F1912" s="1"/>
      <c r="G1912" s="1"/>
      <c r="H1912" s="1"/>
      <c r="I1912" s="1"/>
      <c r="J1912" s="1"/>
      <c r="K1912" s="1"/>
    </row>
    <row r="1913" spans="1:11" ht="15">
      <c r="A1913" s="1"/>
      <c r="B1913" s="1"/>
      <c r="C1913" s="1"/>
      <c r="D1913" s="1"/>
      <c r="E1913" s="1"/>
      <c r="F1913" s="1"/>
      <c r="G1913" s="1"/>
      <c r="H1913" s="1"/>
      <c r="I1913" s="1"/>
      <c r="J1913" s="1"/>
      <c r="K1913" s="1"/>
    </row>
    <row r="1914" spans="1:11" ht="15">
      <c r="A1914" s="1"/>
      <c r="B1914" s="1"/>
      <c r="C1914" s="1"/>
      <c r="D1914" s="1"/>
      <c r="E1914" s="1"/>
      <c r="F1914" s="1"/>
      <c r="G1914" s="1"/>
      <c r="H1914" s="1"/>
      <c r="I1914" s="1"/>
      <c r="J1914" s="1"/>
      <c r="K1914" s="1"/>
    </row>
    <row r="1915" spans="1:11" ht="15">
      <c r="A1915" s="1"/>
      <c r="B1915" s="1"/>
      <c r="C1915" s="1"/>
      <c r="D1915" s="1"/>
      <c r="E1915" s="1"/>
      <c r="F1915" s="1"/>
      <c r="G1915" s="1"/>
      <c r="H1915" s="1"/>
      <c r="I1915" s="1"/>
      <c r="J1915" s="1"/>
      <c r="K1915" s="1"/>
    </row>
    <row r="1916" spans="1:11" ht="15">
      <c r="A1916" s="1"/>
      <c r="B1916" s="1"/>
      <c r="C1916" s="1"/>
      <c r="D1916" s="1"/>
      <c r="E1916" s="1"/>
      <c r="F1916" s="1"/>
      <c r="G1916" s="1"/>
      <c r="H1916" s="1"/>
      <c r="I1916" s="1"/>
      <c r="J1916" s="1"/>
      <c r="K1916" s="1"/>
    </row>
    <row r="1917" spans="1:11" ht="15">
      <c r="A1917" s="1"/>
      <c r="B1917" s="1"/>
      <c r="C1917" s="1"/>
      <c r="D1917" s="1"/>
      <c r="E1917" s="1"/>
      <c r="F1917" s="1"/>
      <c r="G1917" s="1"/>
      <c r="H1917" s="1"/>
      <c r="I1917" s="1"/>
      <c r="J1917" s="1"/>
      <c r="K1917" s="1"/>
    </row>
    <row r="1918" spans="1:11" ht="15">
      <c r="A1918" s="1"/>
      <c r="B1918" s="1"/>
      <c r="C1918" s="1"/>
      <c r="D1918" s="1"/>
      <c r="E1918" s="1"/>
      <c r="F1918" s="1"/>
      <c r="G1918" s="1"/>
      <c r="H1918" s="1"/>
      <c r="I1918" s="1"/>
      <c r="J1918" s="1"/>
      <c r="K1918" s="1"/>
    </row>
    <row r="1919" spans="1:11" ht="15">
      <c r="A1919" s="1"/>
      <c r="B1919" s="1"/>
      <c r="C1919" s="1"/>
      <c r="D1919" s="1"/>
      <c r="E1919" s="1"/>
      <c r="F1919" s="1"/>
      <c r="G1919" s="1"/>
      <c r="H1919" s="1"/>
      <c r="I1919" s="1"/>
      <c r="J1919" s="1"/>
      <c r="K1919" s="1"/>
    </row>
    <row r="1920" spans="1:11" ht="15">
      <c r="A1920" s="1"/>
      <c r="B1920" s="1"/>
      <c r="C1920" s="1"/>
      <c r="D1920" s="1"/>
      <c r="E1920" s="1"/>
      <c r="F1920" s="1"/>
      <c r="G1920" s="1"/>
      <c r="H1920" s="1"/>
      <c r="I1920" s="1"/>
      <c r="J1920" s="1"/>
      <c r="K1920" s="1"/>
    </row>
    <row r="1921" spans="1:11" ht="15">
      <c r="A1921" s="1"/>
      <c r="B1921" s="1"/>
      <c r="C1921" s="1"/>
      <c r="D1921" s="1"/>
      <c r="E1921" s="1"/>
      <c r="F1921" s="1"/>
      <c r="G1921" s="1"/>
      <c r="H1921" s="1"/>
      <c r="I1921" s="1"/>
      <c r="J1921" s="1"/>
      <c r="K1921" s="1"/>
    </row>
    <row r="1922" spans="1:11" ht="15">
      <c r="A1922" s="1"/>
      <c r="B1922" s="1"/>
      <c r="C1922" s="1"/>
      <c r="D1922" s="1"/>
      <c r="E1922" s="1"/>
      <c r="F1922" s="1"/>
      <c r="G1922" s="1"/>
      <c r="H1922" s="1"/>
      <c r="I1922" s="1"/>
      <c r="J1922" s="1"/>
      <c r="K1922" s="1"/>
    </row>
    <row r="1923" spans="1:11" ht="15">
      <c r="A1923" s="1"/>
      <c r="B1923" s="1"/>
      <c r="C1923" s="1"/>
      <c r="D1923" s="1"/>
      <c r="E1923" s="1"/>
      <c r="F1923" s="1"/>
      <c r="G1923" s="1"/>
      <c r="H1923" s="1"/>
      <c r="I1923" s="1"/>
      <c r="J1923" s="1"/>
      <c r="K1923" s="1"/>
    </row>
    <row r="1924" spans="1:11" ht="15">
      <c r="A1924" s="1"/>
      <c r="B1924" s="1"/>
      <c r="C1924" s="1"/>
      <c r="D1924" s="1"/>
      <c r="E1924" s="1"/>
      <c r="F1924" s="1"/>
      <c r="G1924" s="1"/>
      <c r="H1924" s="1"/>
      <c r="I1924" s="1"/>
      <c r="J1924" s="1"/>
      <c r="K1924" s="1"/>
    </row>
    <row r="1925" spans="1:11" ht="15">
      <c r="A1925" s="1"/>
      <c r="B1925" s="1"/>
      <c r="C1925" s="1"/>
      <c r="D1925" s="1"/>
      <c r="E1925" s="1"/>
      <c r="F1925" s="1"/>
      <c r="G1925" s="1"/>
      <c r="H1925" s="1"/>
      <c r="I1925" s="1"/>
      <c r="J1925" s="1"/>
      <c r="K1925" s="1"/>
    </row>
    <row r="1926" spans="1:11" ht="15">
      <c r="A1926" s="1"/>
      <c r="B1926" s="1"/>
      <c r="C1926" s="1"/>
      <c r="D1926" s="1"/>
      <c r="E1926" s="1"/>
      <c r="F1926" s="1"/>
      <c r="G1926" s="1"/>
      <c r="H1926" s="1"/>
      <c r="I1926" s="1"/>
      <c r="J1926" s="1"/>
      <c r="K1926" s="1"/>
    </row>
    <row r="1927" spans="1:11" ht="15">
      <c r="A1927" s="1"/>
      <c r="B1927" s="1"/>
      <c r="C1927" s="1"/>
      <c r="D1927" s="1"/>
      <c r="E1927" s="1"/>
      <c r="F1927" s="1"/>
      <c r="G1927" s="1"/>
      <c r="H1927" s="1"/>
      <c r="I1927" s="1"/>
      <c r="J1927" s="1"/>
      <c r="K1927" s="1"/>
    </row>
    <row r="1928" spans="1:11" ht="15">
      <c r="A1928" s="1"/>
      <c r="B1928" s="1"/>
      <c r="C1928" s="1"/>
      <c r="D1928" s="1"/>
      <c r="E1928" s="1"/>
      <c r="F1928" s="1"/>
      <c r="G1928" s="1"/>
      <c r="H1928" s="1"/>
      <c r="I1928" s="1"/>
      <c r="J1928" s="1"/>
      <c r="K1928" s="1"/>
    </row>
    <row r="1929" spans="1:11" ht="15">
      <c r="A1929" s="1"/>
      <c r="B1929" s="1"/>
      <c r="C1929" s="1"/>
      <c r="D1929" s="1"/>
      <c r="E1929" s="1"/>
      <c r="F1929" s="1"/>
      <c r="G1929" s="1"/>
      <c r="H1929" s="1"/>
      <c r="I1929" s="1"/>
      <c r="J1929" s="1"/>
      <c r="K1929" s="1"/>
    </row>
    <row r="1930" spans="1:11" ht="15">
      <c r="A1930" s="1"/>
      <c r="B1930" s="1"/>
      <c r="C1930" s="1"/>
      <c r="D1930" s="1"/>
      <c r="E1930" s="1"/>
      <c r="F1930" s="1"/>
      <c r="G1930" s="1"/>
      <c r="H1930" s="1"/>
      <c r="I1930" s="1"/>
      <c r="J1930" s="1"/>
      <c r="K1930" s="1"/>
    </row>
    <row r="1931" spans="1:11" ht="15">
      <c r="A1931" s="1"/>
      <c r="B1931" s="1"/>
      <c r="C1931" s="1"/>
      <c r="D1931" s="1"/>
      <c r="E1931" s="1"/>
      <c r="F1931" s="1"/>
      <c r="G1931" s="1"/>
      <c r="H1931" s="1"/>
      <c r="I1931" s="1"/>
      <c r="J1931" s="1"/>
      <c r="K1931" s="1"/>
    </row>
    <row r="1932" spans="1:11" ht="15">
      <c r="A1932" s="1"/>
      <c r="B1932" s="1"/>
      <c r="C1932" s="1"/>
      <c r="D1932" s="1"/>
      <c r="E1932" s="1"/>
      <c r="F1932" s="1"/>
      <c r="G1932" s="1"/>
      <c r="H1932" s="1"/>
      <c r="I1932" s="1"/>
      <c r="J1932" s="1"/>
      <c r="K1932" s="1"/>
    </row>
    <row r="1933" spans="1:11" ht="15">
      <c r="A1933" s="1"/>
      <c r="B1933" s="1"/>
      <c r="C1933" s="1"/>
      <c r="D1933" s="1"/>
      <c r="E1933" s="1"/>
      <c r="F1933" s="1"/>
      <c r="G1933" s="1"/>
      <c r="H1933" s="1"/>
      <c r="I1933" s="1"/>
      <c r="J1933" s="1"/>
      <c r="K1933" s="1"/>
    </row>
    <row r="1934" spans="1:11" ht="15">
      <c r="A1934" s="1"/>
      <c r="B1934" s="1"/>
      <c r="C1934" s="1"/>
      <c r="D1934" s="1"/>
      <c r="E1934" s="1"/>
      <c r="F1934" s="1"/>
      <c r="G1934" s="1"/>
      <c r="H1934" s="1"/>
      <c r="I1934" s="1"/>
      <c r="J1934" s="1"/>
      <c r="K1934" s="1"/>
    </row>
    <row r="1935" spans="1:11" ht="15">
      <c r="A1935" s="1"/>
      <c r="B1935" s="1"/>
      <c r="C1935" s="1"/>
      <c r="D1935" s="1"/>
      <c r="E1935" s="1"/>
      <c r="F1935" s="1"/>
      <c r="G1935" s="1"/>
      <c r="H1935" s="1"/>
      <c r="I1935" s="1"/>
      <c r="J1935" s="1"/>
      <c r="K1935" s="1"/>
    </row>
    <row r="1936" spans="1:11" ht="15">
      <c r="A1936" s="1"/>
      <c r="B1936" s="1"/>
      <c r="C1936" s="1"/>
      <c r="D1936" s="1"/>
      <c r="E1936" s="1"/>
      <c r="F1936" s="1"/>
      <c r="G1936" s="1"/>
      <c r="H1936" s="1"/>
      <c r="I1936" s="1"/>
      <c r="J1936" s="1"/>
      <c r="K1936" s="1"/>
    </row>
    <row r="1937" spans="1:11" ht="15">
      <c r="A1937" s="1"/>
      <c r="B1937" s="1"/>
      <c r="C1937" s="1"/>
      <c r="D1937" s="1"/>
      <c r="E1937" s="1"/>
      <c r="F1937" s="1"/>
      <c r="G1937" s="1"/>
      <c r="H1937" s="1"/>
      <c r="I1937" s="1"/>
      <c r="J1937" s="1"/>
      <c r="K1937" s="1"/>
    </row>
    <row r="1938" spans="1:11" ht="15">
      <c r="A1938" s="1"/>
      <c r="B1938" s="1"/>
      <c r="C1938" s="1"/>
      <c r="D1938" s="1"/>
      <c r="E1938" s="1"/>
      <c r="F1938" s="1"/>
      <c r="G1938" s="1"/>
      <c r="H1938" s="1"/>
      <c r="I1938" s="1"/>
      <c r="J1938" s="1"/>
      <c r="K1938" s="1"/>
    </row>
    <row r="1939" spans="1:11" ht="15">
      <c r="A1939" s="1"/>
      <c r="B1939" s="1"/>
      <c r="C1939" s="1"/>
      <c r="D1939" s="1"/>
      <c r="E1939" s="1"/>
      <c r="F1939" s="1"/>
      <c r="G1939" s="1"/>
      <c r="H1939" s="1"/>
      <c r="I1939" s="1"/>
      <c r="J1939" s="1"/>
      <c r="K1939" s="1"/>
    </row>
    <row r="1940" spans="1:11" ht="15">
      <c r="A1940" s="1"/>
      <c r="B1940" s="1"/>
      <c r="C1940" s="1"/>
      <c r="D1940" s="1"/>
      <c r="E1940" s="1"/>
      <c r="F1940" s="1"/>
      <c r="G1940" s="1"/>
      <c r="H1940" s="1"/>
      <c r="I1940" s="1"/>
      <c r="J1940" s="1"/>
      <c r="K1940" s="1"/>
    </row>
    <row r="1941" spans="1:11" ht="15">
      <c r="A1941" s="1"/>
      <c r="B1941" s="1"/>
      <c r="C1941" s="1"/>
      <c r="D1941" s="1"/>
      <c r="E1941" s="1"/>
      <c r="F1941" s="1"/>
      <c r="G1941" s="1"/>
      <c r="H1941" s="1"/>
      <c r="I1941" s="1"/>
      <c r="J1941" s="1"/>
      <c r="K1941" s="1"/>
    </row>
    <row r="1942" spans="1:11" ht="15">
      <c r="A1942" s="1"/>
      <c r="B1942" s="1"/>
      <c r="C1942" s="1"/>
      <c r="D1942" s="1"/>
      <c r="E1942" s="1"/>
      <c r="F1942" s="1"/>
      <c r="G1942" s="1"/>
      <c r="H1942" s="1"/>
      <c r="I1942" s="1"/>
      <c r="J1942" s="1"/>
      <c r="K1942" s="1"/>
    </row>
    <row r="1943" spans="1:11" ht="15">
      <c r="A1943" s="1"/>
      <c r="B1943" s="1"/>
      <c r="C1943" s="1"/>
      <c r="D1943" s="1"/>
      <c r="E1943" s="1"/>
      <c r="F1943" s="1"/>
      <c r="G1943" s="1"/>
      <c r="H1943" s="1"/>
      <c r="I1943" s="1"/>
      <c r="J1943" s="1"/>
      <c r="K1943" s="1"/>
    </row>
    <row r="1944" spans="1:11" ht="15">
      <c r="A1944" s="1"/>
      <c r="B1944" s="1"/>
      <c r="C1944" s="1"/>
      <c r="D1944" s="1"/>
      <c r="E1944" s="1"/>
      <c r="F1944" s="1"/>
      <c r="G1944" s="1"/>
      <c r="H1944" s="1"/>
      <c r="I1944" s="1"/>
      <c r="J1944" s="1"/>
      <c r="K1944" s="1"/>
    </row>
    <row r="1945" spans="1:11" ht="15">
      <c r="A1945" s="1"/>
      <c r="B1945" s="1"/>
      <c r="C1945" s="1"/>
      <c r="D1945" s="1"/>
      <c r="E1945" s="1"/>
      <c r="F1945" s="1"/>
      <c r="G1945" s="1"/>
      <c r="H1945" s="1"/>
      <c r="I1945" s="1"/>
      <c r="J1945" s="1"/>
      <c r="K1945" s="1"/>
    </row>
    <row r="1946" spans="1:11" ht="15">
      <c r="A1946" s="1"/>
      <c r="B1946" s="1"/>
      <c r="C1946" s="1"/>
      <c r="D1946" s="1"/>
      <c r="E1946" s="1"/>
      <c r="F1946" s="1"/>
      <c r="G1946" s="1"/>
      <c r="H1946" s="1"/>
      <c r="I1946" s="1"/>
      <c r="J1946" s="1"/>
      <c r="K1946" s="1"/>
    </row>
    <row r="1947" spans="1:11" ht="15">
      <c r="A1947" s="1"/>
      <c r="B1947" s="1"/>
      <c r="C1947" s="1"/>
      <c r="D1947" s="1"/>
      <c r="E1947" s="1"/>
      <c r="F1947" s="1"/>
      <c r="G1947" s="1"/>
      <c r="H1947" s="1"/>
      <c r="I1947" s="1"/>
      <c r="J1947" s="1"/>
      <c r="K1947" s="1"/>
    </row>
    <row r="1948" spans="1:11" ht="15">
      <c r="A1948" s="1"/>
      <c r="B1948" s="1"/>
      <c r="C1948" s="1"/>
      <c r="D1948" s="1"/>
      <c r="E1948" s="1"/>
      <c r="F1948" s="1"/>
      <c r="G1948" s="1"/>
      <c r="H1948" s="1"/>
      <c r="I1948" s="1"/>
      <c r="J1948" s="1"/>
      <c r="K1948" s="1"/>
    </row>
    <row r="1949" spans="1:11" ht="15">
      <c r="A1949" s="1"/>
      <c r="B1949" s="1"/>
      <c r="C1949" s="1"/>
      <c r="D1949" s="1"/>
      <c r="E1949" s="1"/>
      <c r="F1949" s="1"/>
      <c r="G1949" s="1"/>
      <c r="H1949" s="1"/>
      <c r="I1949" s="1"/>
      <c r="J1949" s="1"/>
      <c r="K1949" s="1"/>
    </row>
    <row r="1950" spans="1:11" ht="15">
      <c r="A1950" s="1"/>
      <c r="B1950" s="1"/>
      <c r="C1950" s="1"/>
      <c r="D1950" s="1"/>
      <c r="E1950" s="1"/>
      <c r="F1950" s="1"/>
      <c r="G1950" s="1"/>
      <c r="H1950" s="1"/>
      <c r="I1950" s="1"/>
      <c r="J1950" s="1"/>
      <c r="K1950" s="1"/>
    </row>
    <row r="1951" spans="1:11" ht="15">
      <c r="A1951" s="1"/>
      <c r="B1951" s="1"/>
      <c r="C1951" s="1"/>
      <c r="D1951" s="1"/>
      <c r="E1951" s="1"/>
      <c r="F1951" s="1"/>
      <c r="G1951" s="1"/>
      <c r="H1951" s="1"/>
      <c r="I1951" s="1"/>
      <c r="J1951" s="1"/>
      <c r="K1951" s="1"/>
    </row>
    <row r="1952" spans="1:11" ht="15">
      <c r="A1952" s="1"/>
      <c r="B1952" s="1"/>
      <c r="C1952" s="1"/>
      <c r="D1952" s="1"/>
      <c r="E1952" s="1"/>
      <c r="F1952" s="1"/>
      <c r="G1952" s="1"/>
      <c r="H1952" s="1"/>
      <c r="I1952" s="1"/>
      <c r="J1952" s="1"/>
      <c r="K1952" s="1"/>
    </row>
    <row r="1953" spans="1:11" ht="15">
      <c r="A1953" s="1"/>
      <c r="B1953" s="1"/>
      <c r="C1953" s="1"/>
      <c r="D1953" s="1"/>
      <c r="E1953" s="1"/>
      <c r="F1953" s="1"/>
      <c r="G1953" s="1"/>
      <c r="H1953" s="1"/>
      <c r="I1953" s="1"/>
      <c r="J1953" s="1"/>
      <c r="K1953" s="1"/>
    </row>
    <row r="1954" spans="1:11" ht="15">
      <c r="A1954" s="1"/>
      <c r="B1954" s="1"/>
      <c r="C1954" s="1"/>
      <c r="D1954" s="1"/>
      <c r="E1954" s="1"/>
      <c r="F1954" s="1"/>
      <c r="G1954" s="1"/>
      <c r="H1954" s="1"/>
      <c r="I1954" s="1"/>
      <c r="J1954" s="1"/>
      <c r="K1954" s="1"/>
    </row>
    <row r="1955" spans="1:11" ht="15">
      <c r="A1955" s="1"/>
      <c r="B1955" s="1"/>
      <c r="C1955" s="1"/>
      <c r="D1955" s="1"/>
      <c r="E1955" s="1"/>
      <c r="F1955" s="1"/>
      <c r="G1955" s="1"/>
      <c r="H1955" s="1"/>
      <c r="I1955" s="1"/>
      <c r="J1955" s="1"/>
      <c r="K1955" s="1"/>
    </row>
    <row r="1956" spans="1:11" ht="15">
      <c r="A1956" s="1"/>
      <c r="B1956" s="1"/>
      <c r="C1956" s="1"/>
      <c r="D1956" s="1"/>
      <c r="E1956" s="1"/>
      <c r="F1956" s="1"/>
      <c r="G1956" s="1"/>
      <c r="H1956" s="1"/>
      <c r="I1956" s="1"/>
      <c r="J1956" s="1"/>
      <c r="K1956" s="1"/>
    </row>
    <row r="1957" spans="1:11" ht="15">
      <c r="A1957" s="1"/>
      <c r="B1957" s="1"/>
      <c r="C1957" s="1"/>
      <c r="D1957" s="1"/>
      <c r="E1957" s="1"/>
      <c r="F1957" s="1"/>
      <c r="G1957" s="1"/>
      <c r="H1957" s="1"/>
      <c r="I1957" s="1"/>
      <c r="J1957" s="1"/>
      <c r="K1957" s="1"/>
    </row>
    <row r="1958" spans="1:11" ht="15">
      <c r="A1958" s="1"/>
      <c r="B1958" s="1"/>
      <c r="C1958" s="1"/>
      <c r="D1958" s="1"/>
      <c r="E1958" s="1"/>
      <c r="F1958" s="1"/>
      <c r="G1958" s="1"/>
      <c r="H1958" s="1"/>
      <c r="I1958" s="1"/>
      <c r="J1958" s="1"/>
      <c r="K1958" s="1"/>
    </row>
    <row r="1959" spans="1:11" ht="15">
      <c r="A1959" s="1"/>
      <c r="B1959" s="1"/>
      <c r="C1959" s="1"/>
      <c r="D1959" s="1"/>
      <c r="E1959" s="1"/>
      <c r="F1959" s="1"/>
      <c r="G1959" s="1"/>
      <c r="H1959" s="1"/>
      <c r="I1959" s="1"/>
      <c r="J1959" s="1"/>
      <c r="K1959" s="1"/>
    </row>
    <row r="1960" spans="1:11" ht="15">
      <c r="A1960" s="1"/>
      <c r="B1960" s="1"/>
      <c r="C1960" s="1"/>
      <c r="D1960" s="1"/>
      <c r="E1960" s="1"/>
      <c r="F1960" s="1"/>
      <c r="G1960" s="1"/>
      <c r="H1960" s="1"/>
      <c r="I1960" s="1"/>
      <c r="J1960" s="1"/>
      <c r="K1960" s="1"/>
    </row>
    <row r="1961" spans="1:11" ht="15">
      <c r="A1961" s="1"/>
      <c r="B1961" s="1"/>
      <c r="C1961" s="1"/>
      <c r="D1961" s="1"/>
      <c r="E1961" s="1"/>
      <c r="F1961" s="1"/>
      <c r="G1961" s="1"/>
      <c r="H1961" s="1"/>
      <c r="I1961" s="1"/>
      <c r="J1961" s="1"/>
      <c r="K1961" s="1"/>
    </row>
    <row r="1962" spans="1:11" ht="15">
      <c r="A1962" s="1"/>
      <c r="B1962" s="1"/>
      <c r="C1962" s="1"/>
      <c r="D1962" s="1"/>
      <c r="E1962" s="1"/>
      <c r="F1962" s="1"/>
      <c r="G1962" s="1"/>
      <c r="H1962" s="1"/>
      <c r="I1962" s="1"/>
      <c r="J1962" s="1"/>
      <c r="K1962" s="1"/>
    </row>
    <row r="1963" spans="1:11" ht="15">
      <c r="A1963" s="1"/>
      <c r="B1963" s="1"/>
      <c r="C1963" s="1"/>
      <c r="D1963" s="1"/>
      <c r="E1963" s="1"/>
      <c r="F1963" s="1"/>
      <c r="G1963" s="1"/>
      <c r="H1963" s="1"/>
      <c r="I1963" s="1"/>
      <c r="J1963" s="1"/>
      <c r="K1963" s="1"/>
    </row>
    <row r="1964" spans="1:11" ht="15">
      <c r="A1964" s="1"/>
      <c r="B1964" s="1"/>
      <c r="C1964" s="1"/>
      <c r="D1964" s="1"/>
      <c r="E1964" s="1"/>
      <c r="F1964" s="1"/>
      <c r="G1964" s="1"/>
      <c r="H1964" s="1"/>
      <c r="I1964" s="1"/>
      <c r="J1964" s="1"/>
      <c r="K1964" s="1"/>
    </row>
    <row r="1965" spans="1:11" ht="15">
      <c r="A1965" s="1"/>
      <c r="B1965" s="1"/>
      <c r="C1965" s="1"/>
      <c r="D1965" s="1"/>
      <c r="E1965" s="1"/>
      <c r="F1965" s="1"/>
      <c r="G1965" s="1"/>
      <c r="H1965" s="1"/>
      <c r="I1965" s="1"/>
      <c r="J1965" s="1"/>
      <c r="K1965" s="1"/>
    </row>
    <row r="1966" spans="1:11" ht="15">
      <c r="A1966" s="1"/>
      <c r="B1966" s="1"/>
      <c r="C1966" s="1"/>
      <c r="D1966" s="1"/>
      <c r="E1966" s="1"/>
      <c r="F1966" s="1"/>
      <c r="G1966" s="1"/>
      <c r="H1966" s="1"/>
      <c r="I1966" s="1"/>
      <c r="J1966" s="1"/>
      <c r="K1966" s="1"/>
    </row>
    <row r="1967" spans="1:11" ht="15">
      <c r="A1967" s="1"/>
      <c r="B1967" s="1"/>
      <c r="C1967" s="1"/>
      <c r="D1967" s="1"/>
      <c r="E1967" s="1"/>
      <c r="F1967" s="1"/>
      <c r="G1967" s="1"/>
      <c r="H1967" s="1"/>
      <c r="I1967" s="1"/>
      <c r="J1967" s="1"/>
      <c r="K1967" s="1"/>
    </row>
    <row r="1968" spans="1:11" ht="15">
      <c r="A1968" s="1"/>
      <c r="B1968" s="1"/>
      <c r="C1968" s="1"/>
      <c r="D1968" s="1"/>
      <c r="E1968" s="1"/>
      <c r="F1968" s="1"/>
      <c r="G1968" s="1"/>
      <c r="H1968" s="1"/>
      <c r="I1968" s="1"/>
      <c r="J1968" s="1"/>
      <c r="K1968" s="1"/>
    </row>
    <row r="1969" spans="1:11" ht="15">
      <c r="A1969" s="1"/>
      <c r="B1969" s="1"/>
      <c r="C1969" s="1"/>
      <c r="D1969" s="1"/>
      <c r="E1969" s="1"/>
      <c r="F1969" s="1"/>
      <c r="G1969" s="1"/>
      <c r="H1969" s="1"/>
      <c r="I1969" s="1"/>
      <c r="J1969" s="1"/>
      <c r="K1969" s="1"/>
    </row>
    <row r="1970" spans="1:11" ht="15">
      <c r="A1970" s="1"/>
      <c r="B1970" s="1"/>
      <c r="C1970" s="1"/>
      <c r="D1970" s="1"/>
      <c r="E1970" s="1"/>
      <c r="F1970" s="1"/>
      <c r="G1970" s="1"/>
      <c r="H1970" s="1"/>
      <c r="I1970" s="1"/>
      <c r="J1970" s="1"/>
      <c r="K1970" s="1"/>
    </row>
    <row r="1971" spans="1:11" ht="15">
      <c r="A1971" s="1"/>
      <c r="B1971" s="1"/>
      <c r="C1971" s="1"/>
      <c r="D1971" s="1"/>
      <c r="E1971" s="1"/>
      <c r="F1971" s="1"/>
      <c r="G1971" s="1"/>
      <c r="H1971" s="1"/>
      <c r="I1971" s="1"/>
      <c r="J1971" s="1"/>
      <c r="K1971" s="1"/>
    </row>
    <row r="1972" spans="1:11" ht="15">
      <c r="A1972" s="1"/>
      <c r="B1972" s="1"/>
      <c r="C1972" s="1"/>
      <c r="D1972" s="1"/>
      <c r="E1972" s="1"/>
      <c r="F1972" s="1"/>
      <c r="G1972" s="1"/>
      <c r="H1972" s="1"/>
      <c r="I1972" s="1"/>
      <c r="J1972" s="1"/>
      <c r="K1972" s="1"/>
    </row>
    <row r="1973" spans="1:11" ht="15">
      <c r="A1973" s="1"/>
      <c r="B1973" s="1"/>
      <c r="C1973" s="1"/>
      <c r="D1973" s="1"/>
      <c r="E1973" s="1"/>
      <c r="F1973" s="1"/>
      <c r="G1973" s="1"/>
      <c r="H1973" s="1"/>
      <c r="I1973" s="1"/>
      <c r="J1973" s="1"/>
      <c r="K1973" s="1"/>
    </row>
    <row r="1974" spans="1:11" ht="15">
      <c r="A1974" s="1"/>
      <c r="B1974" s="1"/>
      <c r="C1974" s="1"/>
      <c r="D1974" s="1"/>
      <c r="E1974" s="1"/>
      <c r="F1974" s="1"/>
      <c r="G1974" s="1"/>
      <c r="H1974" s="1"/>
      <c r="I1974" s="1"/>
      <c r="J1974" s="1"/>
      <c r="K1974" s="1"/>
    </row>
    <row r="1975" spans="1:11" ht="15">
      <c r="A1975" s="1"/>
      <c r="B1975" s="1"/>
      <c r="C1975" s="1"/>
      <c r="D1975" s="1"/>
      <c r="E1975" s="1"/>
      <c r="F1975" s="1"/>
      <c r="G1975" s="1"/>
      <c r="H1975" s="1"/>
      <c r="I1975" s="1"/>
      <c r="J1975" s="1"/>
      <c r="K1975" s="1"/>
    </row>
    <row r="1976" spans="1:11" ht="15">
      <c r="A1976" s="1"/>
      <c r="B1976" s="1"/>
      <c r="C1976" s="1"/>
      <c r="D1976" s="1"/>
      <c r="E1976" s="1"/>
      <c r="F1976" s="1"/>
      <c r="G1976" s="1"/>
      <c r="H1976" s="1"/>
      <c r="I1976" s="1"/>
      <c r="J1976" s="1"/>
      <c r="K1976" s="1"/>
    </row>
    <row r="1977" spans="1:11" ht="15">
      <c r="A1977" s="1"/>
      <c r="B1977" s="1"/>
      <c r="C1977" s="1"/>
      <c r="D1977" s="1"/>
      <c r="E1977" s="1"/>
      <c r="F1977" s="1"/>
      <c r="G1977" s="1"/>
      <c r="H1977" s="1"/>
      <c r="I1977" s="1"/>
      <c r="J1977" s="1"/>
      <c r="K1977" s="1"/>
    </row>
    <row r="1978" spans="1:11" ht="15">
      <c r="A1978" s="1"/>
      <c r="B1978" s="1"/>
      <c r="C1978" s="1"/>
      <c r="D1978" s="1"/>
      <c r="E1978" s="1"/>
      <c r="F1978" s="1"/>
      <c r="G1978" s="1"/>
      <c r="H1978" s="1"/>
      <c r="I1978" s="1"/>
      <c r="J1978" s="1"/>
      <c r="K1978" s="1"/>
    </row>
    <row r="1979" spans="1:11" ht="15">
      <c r="A1979" s="1"/>
      <c r="B1979" s="1"/>
      <c r="C1979" s="1"/>
      <c r="D1979" s="1"/>
      <c r="E1979" s="1"/>
      <c r="F1979" s="1"/>
      <c r="G1979" s="1"/>
      <c r="H1979" s="1"/>
      <c r="I1979" s="1"/>
      <c r="J1979" s="1"/>
      <c r="K1979" s="1"/>
    </row>
    <row r="1980" spans="1:11" ht="15">
      <c r="A1980" s="1"/>
      <c r="B1980" s="1"/>
      <c r="C1980" s="1"/>
      <c r="D1980" s="1"/>
      <c r="E1980" s="1"/>
      <c r="F1980" s="1"/>
      <c r="G1980" s="1"/>
      <c r="H1980" s="1"/>
      <c r="I1980" s="1"/>
      <c r="J1980" s="1"/>
      <c r="K1980" s="1"/>
    </row>
    <row r="1981" spans="1:11" ht="15">
      <c r="A1981" s="1"/>
      <c r="B1981" s="1"/>
      <c r="C1981" s="1"/>
      <c r="D1981" s="1"/>
      <c r="E1981" s="1"/>
      <c r="F1981" s="1"/>
      <c r="G1981" s="1"/>
      <c r="H1981" s="1"/>
      <c r="I1981" s="1"/>
      <c r="J1981" s="1"/>
      <c r="K1981" s="1"/>
    </row>
    <row r="1982" spans="1:11" ht="15">
      <c r="A1982" s="1"/>
      <c r="B1982" s="1"/>
      <c r="C1982" s="1"/>
      <c r="D1982" s="1"/>
      <c r="E1982" s="1"/>
      <c r="F1982" s="1"/>
      <c r="G1982" s="1"/>
      <c r="H1982" s="1"/>
      <c r="I1982" s="1"/>
      <c r="J1982" s="1"/>
      <c r="K1982" s="1"/>
    </row>
    <row r="1983" spans="1:11" ht="15">
      <c r="A1983" s="1"/>
      <c r="B1983" s="1"/>
      <c r="C1983" s="1"/>
      <c r="D1983" s="1"/>
      <c r="E1983" s="1"/>
      <c r="F1983" s="1"/>
      <c r="G1983" s="1"/>
      <c r="H1983" s="1"/>
      <c r="I1983" s="1"/>
      <c r="J1983" s="1"/>
      <c r="K1983" s="1"/>
    </row>
    <row r="1984" spans="1:11" ht="15">
      <c r="A1984" s="1"/>
      <c r="B1984" s="1"/>
      <c r="C1984" s="1"/>
      <c r="D1984" s="1"/>
      <c r="E1984" s="1"/>
      <c r="F1984" s="1"/>
      <c r="G1984" s="1"/>
      <c r="H1984" s="1"/>
      <c r="I1984" s="1"/>
      <c r="J1984" s="1"/>
      <c r="K1984" s="1"/>
    </row>
    <row r="1985" spans="1:11" ht="15">
      <c r="A1985" s="1"/>
      <c r="B1985" s="1"/>
      <c r="C1985" s="1"/>
      <c r="D1985" s="1"/>
      <c r="E1985" s="1"/>
      <c r="F1985" s="1"/>
      <c r="G1985" s="1"/>
      <c r="H1985" s="1"/>
      <c r="I1985" s="1"/>
      <c r="J1985" s="1"/>
      <c r="K1985" s="1"/>
    </row>
    <row r="1986" spans="1:11" ht="15">
      <c r="A1986" s="1"/>
      <c r="B1986" s="1"/>
      <c r="C1986" s="1"/>
      <c r="D1986" s="1"/>
      <c r="E1986" s="1"/>
      <c r="F1986" s="1"/>
      <c r="G1986" s="1"/>
      <c r="H1986" s="1"/>
      <c r="I1986" s="1"/>
      <c r="J1986" s="1"/>
      <c r="K1986" s="1"/>
    </row>
    <row r="1987" spans="1:11" ht="15">
      <c r="A1987" s="1"/>
      <c r="B1987" s="1"/>
      <c r="C1987" s="1"/>
      <c r="D1987" s="1"/>
      <c r="E1987" s="1"/>
      <c r="F1987" s="1"/>
      <c r="G1987" s="1"/>
      <c r="H1987" s="1"/>
      <c r="I1987" s="1"/>
      <c r="J1987" s="1"/>
      <c r="K1987" s="1"/>
    </row>
    <row r="1988" spans="1:11" ht="15">
      <c r="A1988" s="1"/>
      <c r="B1988" s="1"/>
      <c r="C1988" s="1"/>
      <c r="D1988" s="1"/>
      <c r="E1988" s="1"/>
      <c r="F1988" s="1"/>
      <c r="G1988" s="1"/>
      <c r="H1988" s="1"/>
      <c r="I1988" s="1"/>
      <c r="J1988" s="1"/>
      <c r="K1988" s="1"/>
    </row>
    <row r="1989" spans="1:11" ht="15">
      <c r="A1989" s="1"/>
      <c r="B1989" s="1"/>
      <c r="C1989" s="1"/>
      <c r="D1989" s="1"/>
      <c r="E1989" s="1"/>
      <c r="F1989" s="1"/>
      <c r="G1989" s="1"/>
      <c r="H1989" s="1"/>
      <c r="I1989" s="1"/>
      <c r="J1989" s="1"/>
      <c r="K1989" s="1"/>
    </row>
    <row r="1990" spans="1:11" ht="15">
      <c r="A1990" s="1"/>
      <c r="B1990" s="1"/>
      <c r="C1990" s="1"/>
      <c r="D1990" s="1"/>
      <c r="E1990" s="1"/>
      <c r="F1990" s="1"/>
      <c r="G1990" s="1"/>
      <c r="H1990" s="1"/>
      <c r="I1990" s="1"/>
      <c r="J1990" s="1"/>
      <c r="K1990" s="1"/>
    </row>
    <row r="1991" spans="1:11" ht="15">
      <c r="A1991" s="1"/>
      <c r="B1991" s="1"/>
      <c r="C1991" s="1"/>
      <c r="D1991" s="1"/>
      <c r="E1991" s="1"/>
      <c r="F1991" s="1"/>
      <c r="G1991" s="1"/>
      <c r="H1991" s="1"/>
      <c r="I1991" s="1"/>
      <c r="J1991" s="1"/>
      <c r="K1991" s="1"/>
    </row>
    <row r="1992" spans="1:11" ht="15">
      <c r="A1992" s="1"/>
      <c r="B1992" s="1"/>
      <c r="C1992" s="1"/>
      <c r="D1992" s="1"/>
      <c r="E1992" s="1"/>
      <c r="F1992" s="1"/>
      <c r="G1992" s="1"/>
      <c r="H1992" s="1"/>
      <c r="I1992" s="1"/>
      <c r="J1992" s="1"/>
      <c r="K1992" s="1"/>
    </row>
    <row r="1993" spans="1:11" ht="15">
      <c r="A1993" s="1"/>
      <c r="B1993" s="1"/>
      <c r="C1993" s="1"/>
      <c r="D1993" s="1"/>
      <c r="E1993" s="1"/>
      <c r="F1993" s="1"/>
      <c r="G1993" s="1"/>
      <c r="H1993" s="1"/>
      <c r="I1993" s="1"/>
      <c r="J1993" s="1"/>
      <c r="K1993" s="1"/>
    </row>
    <row r="1994" spans="1:11" ht="15">
      <c r="A1994" s="1"/>
      <c r="B1994" s="1"/>
      <c r="C1994" s="1"/>
      <c r="D1994" s="1"/>
      <c r="E1994" s="1"/>
      <c r="F1994" s="1"/>
      <c r="G1994" s="1"/>
      <c r="H1994" s="1"/>
      <c r="I1994" s="1"/>
      <c r="J1994" s="1"/>
      <c r="K1994" s="1"/>
    </row>
    <row r="1995" spans="1:11" ht="15">
      <c r="A1995" s="1"/>
      <c r="B1995" s="1"/>
      <c r="C1995" s="1"/>
      <c r="D1995" s="1"/>
      <c r="E1995" s="1"/>
      <c r="F1995" s="1"/>
      <c r="G1995" s="1"/>
      <c r="H1995" s="1"/>
      <c r="I1995" s="1"/>
      <c r="J1995" s="1"/>
      <c r="K1995" s="1"/>
    </row>
    <row r="1996" spans="1:11" ht="15">
      <c r="A1996" s="1"/>
      <c r="B1996" s="1"/>
      <c r="C1996" s="1"/>
      <c r="D1996" s="1"/>
      <c r="E1996" s="1"/>
      <c r="F1996" s="1"/>
      <c r="G1996" s="1"/>
      <c r="H1996" s="1"/>
      <c r="I1996" s="1"/>
      <c r="J1996" s="1"/>
      <c r="K1996" s="1"/>
    </row>
    <row r="1997" spans="1:11" ht="15">
      <c r="A1997" s="1"/>
      <c r="B1997" s="1"/>
      <c r="C1997" s="1"/>
      <c r="D1997" s="1"/>
      <c r="E1997" s="1"/>
      <c r="F1997" s="1"/>
      <c r="G1997" s="1"/>
      <c r="H1997" s="1"/>
      <c r="I1997" s="1"/>
      <c r="J1997" s="1"/>
      <c r="K1997" s="1"/>
    </row>
    <row r="1998" spans="1:11" ht="15">
      <c r="A1998" s="1"/>
      <c r="B1998" s="1"/>
      <c r="C1998" s="1"/>
      <c r="D1998" s="1"/>
      <c r="E1998" s="1"/>
      <c r="F1998" s="1"/>
      <c r="G1998" s="1"/>
      <c r="H1998" s="1"/>
      <c r="I1998" s="1"/>
      <c r="J1998" s="1"/>
      <c r="K1998" s="1"/>
    </row>
    <row r="1999" spans="1:11" ht="15">
      <c r="A1999" s="1"/>
      <c r="B1999" s="1"/>
      <c r="C1999" s="1"/>
      <c r="D1999" s="1"/>
      <c r="E1999" s="1"/>
      <c r="F1999" s="1"/>
      <c r="G1999" s="1"/>
      <c r="H1999" s="1"/>
      <c r="I1999" s="1"/>
      <c r="J1999" s="1"/>
      <c r="K1999" s="1"/>
    </row>
    <row r="2000" spans="1:11" ht="15">
      <c r="A2000" s="1"/>
      <c r="B2000" s="1"/>
      <c r="C2000" s="1"/>
      <c r="D2000" s="1"/>
      <c r="E2000" s="1"/>
      <c r="F2000" s="1"/>
      <c r="G2000" s="1"/>
      <c r="H2000" s="1"/>
      <c r="I2000" s="1"/>
      <c r="J2000" s="1"/>
      <c r="K2000" s="1"/>
    </row>
    <row r="2001" spans="1:11" ht="15">
      <c r="A2001" s="1"/>
      <c r="B2001" s="1"/>
      <c r="C2001" s="1"/>
      <c r="D2001" s="1"/>
      <c r="E2001" s="1"/>
      <c r="F2001" s="1"/>
      <c r="G2001" s="1"/>
      <c r="H2001" s="1"/>
      <c r="I2001" s="1"/>
      <c r="J2001" s="1"/>
      <c r="K2001" s="1"/>
    </row>
    <row r="2002" spans="1:11" ht="15">
      <c r="A2002" s="1"/>
      <c r="B2002" s="1"/>
      <c r="C2002" s="1"/>
      <c r="D2002" s="1"/>
      <c r="E2002" s="1"/>
      <c r="F2002" s="1"/>
      <c r="G2002" s="1"/>
      <c r="H2002" s="1"/>
      <c r="I2002" s="1"/>
      <c r="J2002" s="1"/>
      <c r="K2002" s="1"/>
    </row>
    <row r="2003" spans="1:11" ht="15">
      <c r="A2003" s="1"/>
      <c r="B2003" s="1"/>
      <c r="C2003" s="1"/>
      <c r="D2003" s="1"/>
      <c r="E2003" s="1"/>
      <c r="F2003" s="1"/>
      <c r="G2003" s="1"/>
      <c r="H2003" s="1"/>
      <c r="I2003" s="1"/>
      <c r="J2003" s="1"/>
      <c r="K2003" s="1"/>
    </row>
    <row r="2004" spans="1:11" ht="15">
      <c r="A2004" s="1"/>
      <c r="B2004" s="1"/>
      <c r="C2004" s="1"/>
      <c r="D2004" s="1"/>
      <c r="E2004" s="1"/>
      <c r="F2004" s="1"/>
      <c r="G2004" s="1"/>
      <c r="H2004" s="1"/>
      <c r="I2004" s="1"/>
      <c r="J2004" s="1"/>
      <c r="K2004" s="1"/>
    </row>
    <row r="2005" spans="1:11" ht="15">
      <c r="A2005" s="1"/>
      <c r="B2005" s="1"/>
      <c r="C2005" s="1"/>
      <c r="D2005" s="1"/>
      <c r="E2005" s="1"/>
      <c r="F2005" s="1"/>
      <c r="G2005" s="1"/>
      <c r="H2005" s="1"/>
      <c r="I2005" s="1"/>
      <c r="J2005" s="1"/>
      <c r="K2005" s="1"/>
    </row>
    <row r="2006" spans="1:11" ht="15">
      <c r="A2006" s="1"/>
      <c r="B2006" s="1"/>
      <c r="C2006" s="1"/>
      <c r="D2006" s="1"/>
      <c r="E2006" s="1"/>
      <c r="F2006" s="1"/>
      <c r="G2006" s="1"/>
      <c r="H2006" s="1"/>
      <c r="I2006" s="1"/>
      <c r="J2006" s="1"/>
      <c r="K2006" s="1"/>
    </row>
    <row r="2007" spans="1:11" ht="15">
      <c r="A2007" s="1"/>
      <c r="B2007" s="1"/>
      <c r="C2007" s="1"/>
      <c r="D2007" s="1"/>
      <c r="E2007" s="1"/>
      <c r="F2007" s="1"/>
      <c r="G2007" s="1"/>
      <c r="H2007" s="1"/>
      <c r="I2007" s="1"/>
      <c r="J2007" s="1"/>
      <c r="K2007" s="1"/>
    </row>
    <row r="2008" spans="1:11" ht="15">
      <c r="A2008" s="1"/>
      <c r="B2008" s="1"/>
      <c r="C2008" s="1"/>
      <c r="D2008" s="1"/>
      <c r="E2008" s="1"/>
      <c r="F2008" s="1"/>
      <c r="G2008" s="1"/>
      <c r="H2008" s="1"/>
      <c r="I2008" s="1"/>
      <c r="J2008" s="1"/>
      <c r="K2008" s="1"/>
    </row>
    <row r="2009" spans="1:11" ht="15">
      <c r="A2009" s="1"/>
      <c r="B2009" s="1"/>
      <c r="C2009" s="1"/>
      <c r="D2009" s="1"/>
      <c r="E2009" s="1"/>
      <c r="F2009" s="1"/>
      <c r="G2009" s="1"/>
      <c r="H2009" s="1"/>
      <c r="I2009" s="1"/>
      <c r="J2009" s="1"/>
      <c r="K2009" s="1"/>
    </row>
    <row r="2010" spans="1:11" ht="15">
      <c r="A2010" s="1"/>
      <c r="B2010" s="1"/>
      <c r="C2010" s="1"/>
      <c r="D2010" s="1"/>
      <c r="E2010" s="1"/>
      <c r="F2010" s="1"/>
      <c r="G2010" s="1"/>
      <c r="H2010" s="1"/>
      <c r="I2010" s="1"/>
      <c r="J2010" s="1"/>
      <c r="K2010" s="1"/>
    </row>
    <row r="2011" spans="1:11" ht="15">
      <c r="A2011" s="1"/>
      <c r="B2011" s="1"/>
      <c r="C2011" s="1"/>
      <c r="D2011" s="1"/>
      <c r="E2011" s="1"/>
      <c r="F2011" s="1"/>
      <c r="G2011" s="1"/>
      <c r="H2011" s="1"/>
      <c r="I2011" s="1"/>
      <c r="J2011" s="1"/>
      <c r="K2011" s="1"/>
    </row>
    <row r="2012" spans="1:11" ht="15">
      <c r="A2012" s="1"/>
      <c r="B2012" s="1"/>
      <c r="C2012" s="1"/>
      <c r="D2012" s="1"/>
      <c r="E2012" s="1"/>
      <c r="F2012" s="1"/>
      <c r="G2012" s="1"/>
      <c r="H2012" s="1"/>
      <c r="I2012" s="1"/>
      <c r="J2012" s="1"/>
      <c r="K2012" s="1"/>
    </row>
    <row r="2013" spans="1:11" ht="15">
      <c r="A2013" s="1"/>
      <c r="B2013" s="1"/>
      <c r="C2013" s="1"/>
      <c r="D2013" s="1"/>
      <c r="E2013" s="1"/>
      <c r="F2013" s="1"/>
      <c r="G2013" s="1"/>
      <c r="H2013" s="1"/>
      <c r="I2013" s="1"/>
      <c r="J2013" s="1"/>
      <c r="K2013" s="1"/>
    </row>
    <row r="2014" spans="1:11" ht="15">
      <c r="A2014" s="1"/>
      <c r="B2014" s="1"/>
      <c r="C2014" s="1"/>
      <c r="D2014" s="1"/>
      <c r="E2014" s="1"/>
      <c r="F2014" s="1"/>
      <c r="G2014" s="1"/>
      <c r="H2014" s="1"/>
      <c r="I2014" s="1"/>
      <c r="J2014" s="1"/>
      <c r="K2014" s="1"/>
    </row>
    <row r="2015" spans="1:11" ht="15">
      <c r="A2015" s="1"/>
      <c r="B2015" s="1"/>
      <c r="C2015" s="1"/>
      <c r="D2015" s="1"/>
      <c r="E2015" s="1"/>
      <c r="F2015" s="1"/>
      <c r="G2015" s="1"/>
      <c r="H2015" s="1"/>
      <c r="I2015" s="1"/>
      <c r="J2015" s="1"/>
      <c r="K2015" s="1"/>
    </row>
    <row r="2016" spans="1:11" ht="15">
      <c r="A2016" s="1"/>
      <c r="B2016" s="1"/>
      <c r="C2016" s="1"/>
      <c r="D2016" s="1"/>
      <c r="E2016" s="1"/>
      <c r="F2016" s="1"/>
      <c r="G2016" s="1"/>
      <c r="H2016" s="1"/>
      <c r="I2016" s="1"/>
      <c r="J2016" s="1"/>
      <c r="K2016" s="1"/>
    </row>
    <row r="2017" spans="1:11" ht="15">
      <c r="A2017" s="1"/>
      <c r="B2017" s="1"/>
      <c r="C2017" s="1"/>
      <c r="D2017" s="1"/>
      <c r="E2017" s="1"/>
      <c r="F2017" s="1"/>
      <c r="G2017" s="1"/>
      <c r="H2017" s="1"/>
      <c r="I2017" s="1"/>
      <c r="J2017" s="1"/>
      <c r="K2017" s="1"/>
    </row>
    <row r="2018" spans="1:11" ht="15">
      <c r="A2018" s="1"/>
      <c r="B2018" s="1"/>
      <c r="C2018" s="1"/>
      <c r="D2018" s="1"/>
      <c r="E2018" s="1"/>
      <c r="F2018" s="1"/>
      <c r="G2018" s="1"/>
      <c r="H2018" s="1"/>
      <c r="I2018" s="1"/>
      <c r="J2018" s="1"/>
      <c r="K2018" s="1"/>
    </row>
    <row r="2019" spans="1:11" ht="15">
      <c r="A2019" s="1"/>
      <c r="B2019" s="1"/>
      <c r="C2019" s="1"/>
      <c r="D2019" s="1"/>
      <c r="E2019" s="1"/>
      <c r="F2019" s="1"/>
      <c r="G2019" s="1"/>
      <c r="H2019" s="1"/>
      <c r="I2019" s="1"/>
      <c r="J2019" s="1"/>
      <c r="K2019" s="1"/>
    </row>
    <row r="2020" spans="1:11" ht="15">
      <c r="A2020" s="1"/>
      <c r="B2020" s="1"/>
      <c r="C2020" s="1"/>
      <c r="D2020" s="1"/>
      <c r="E2020" s="1"/>
      <c r="F2020" s="1"/>
      <c r="G2020" s="1"/>
      <c r="H2020" s="1"/>
      <c r="I2020" s="1"/>
      <c r="J2020" s="1"/>
      <c r="K2020" s="1"/>
    </row>
    <row r="2021" spans="1:11" ht="15">
      <c r="A2021" s="1"/>
      <c r="B2021" s="1"/>
      <c r="C2021" s="1"/>
      <c r="D2021" s="1"/>
      <c r="E2021" s="1"/>
      <c r="F2021" s="1"/>
      <c r="G2021" s="1"/>
      <c r="H2021" s="1"/>
      <c r="I2021" s="1"/>
      <c r="J2021" s="1"/>
      <c r="K2021" s="1"/>
    </row>
    <row r="2022" spans="1:11" ht="15">
      <c r="A2022" s="1"/>
      <c r="B2022" s="1"/>
      <c r="C2022" s="1"/>
      <c r="D2022" s="1"/>
      <c r="E2022" s="1"/>
      <c r="F2022" s="1"/>
      <c r="G2022" s="1"/>
      <c r="H2022" s="1"/>
      <c r="I2022" s="1"/>
      <c r="J2022" s="1"/>
      <c r="K2022" s="1"/>
    </row>
    <row r="2023" spans="1:11" ht="15">
      <c r="A2023" s="1"/>
      <c r="B2023" s="1"/>
      <c r="C2023" s="1"/>
      <c r="D2023" s="1"/>
      <c r="E2023" s="1"/>
      <c r="F2023" s="1"/>
      <c r="G2023" s="1"/>
      <c r="H2023" s="1"/>
      <c r="I2023" s="1"/>
      <c r="J2023" s="1"/>
      <c r="K2023" s="1"/>
    </row>
    <row r="2024" spans="1:11" ht="15">
      <c r="A2024" s="1"/>
      <c r="B2024" s="1"/>
      <c r="C2024" s="1"/>
      <c r="D2024" s="1"/>
      <c r="E2024" s="1"/>
      <c r="F2024" s="1"/>
      <c r="G2024" s="1"/>
      <c r="H2024" s="1"/>
      <c r="I2024" s="1"/>
      <c r="J2024" s="1"/>
      <c r="K2024" s="1"/>
    </row>
    <row r="2025" spans="1:11" ht="15">
      <c r="A2025" s="1"/>
      <c r="B2025" s="1"/>
      <c r="C2025" s="1"/>
      <c r="D2025" s="1"/>
      <c r="E2025" s="1"/>
      <c r="F2025" s="1"/>
      <c r="G2025" s="1"/>
      <c r="H2025" s="1"/>
      <c r="I2025" s="1"/>
      <c r="J2025" s="1"/>
      <c r="K2025" s="1"/>
    </row>
    <row r="2026" spans="1:11" ht="15">
      <c r="A2026" s="1"/>
      <c r="B2026" s="1"/>
      <c r="C2026" s="1"/>
      <c r="D2026" s="1"/>
      <c r="E2026" s="1"/>
      <c r="F2026" s="1"/>
      <c r="G2026" s="1"/>
      <c r="H2026" s="1"/>
      <c r="I2026" s="1"/>
      <c r="J2026" s="1"/>
      <c r="K2026" s="1"/>
    </row>
    <row r="2027" spans="1:11" ht="15">
      <c r="A2027" s="1"/>
      <c r="B2027" s="1"/>
      <c r="C2027" s="1"/>
      <c r="D2027" s="1"/>
      <c r="E2027" s="1"/>
      <c r="F2027" s="1"/>
      <c r="G2027" s="1"/>
      <c r="H2027" s="1"/>
      <c r="I2027" s="1"/>
      <c r="J2027" s="1"/>
      <c r="K2027" s="1"/>
    </row>
    <row r="2028" spans="1:11" ht="15">
      <c r="A2028" s="1"/>
      <c r="B2028" s="1"/>
      <c r="C2028" s="1"/>
      <c r="D2028" s="1"/>
      <c r="E2028" s="1"/>
      <c r="F2028" s="1"/>
      <c r="G2028" s="1"/>
      <c r="H2028" s="1"/>
      <c r="I2028" s="1"/>
      <c r="J2028" s="1"/>
      <c r="K2028" s="1"/>
    </row>
    <row r="2029" spans="1:11" ht="15">
      <c r="A2029" s="1"/>
      <c r="B2029" s="1"/>
      <c r="C2029" s="1"/>
      <c r="D2029" s="1"/>
      <c r="E2029" s="1"/>
      <c r="F2029" s="1"/>
      <c r="G2029" s="1"/>
      <c r="H2029" s="1"/>
      <c r="I2029" s="1"/>
      <c r="J2029" s="1"/>
      <c r="K2029" s="1"/>
    </row>
    <row r="2030" spans="1:11" ht="15">
      <c r="A2030" s="1"/>
      <c r="B2030" s="1"/>
      <c r="C2030" s="1"/>
      <c r="D2030" s="1"/>
      <c r="E2030" s="1"/>
      <c r="F2030" s="1"/>
      <c r="G2030" s="1"/>
      <c r="H2030" s="1"/>
      <c r="I2030" s="1"/>
      <c r="J2030" s="1"/>
      <c r="K2030" s="1"/>
    </row>
    <row r="2031" spans="1:11" ht="15">
      <c r="A2031" s="1"/>
      <c r="B2031" s="1"/>
      <c r="C2031" s="1"/>
      <c r="D2031" s="1"/>
      <c r="E2031" s="1"/>
      <c r="F2031" s="1"/>
      <c r="G2031" s="1"/>
      <c r="H2031" s="1"/>
      <c r="I2031" s="1"/>
      <c r="J2031" s="1"/>
      <c r="K2031" s="1"/>
    </row>
    <row r="2032" spans="1:11" ht="15">
      <c r="A2032" s="1"/>
      <c r="B2032" s="1"/>
      <c r="C2032" s="1"/>
      <c r="D2032" s="1"/>
      <c r="E2032" s="1"/>
      <c r="F2032" s="1"/>
      <c r="G2032" s="1"/>
      <c r="H2032" s="1"/>
      <c r="I2032" s="1"/>
      <c r="J2032" s="1"/>
      <c r="K2032" s="1"/>
    </row>
    <row r="2033" spans="1:11" ht="15">
      <c r="A2033" s="1"/>
      <c r="B2033" s="1"/>
      <c r="C2033" s="1"/>
      <c r="D2033" s="1"/>
      <c r="E2033" s="1"/>
      <c r="F2033" s="1"/>
      <c r="G2033" s="1"/>
      <c r="H2033" s="1"/>
      <c r="I2033" s="1"/>
      <c r="J2033" s="1"/>
      <c r="K2033" s="1"/>
    </row>
    <row r="2034" spans="1:11" ht="15">
      <c r="A2034" s="1"/>
      <c r="B2034" s="1"/>
      <c r="C2034" s="1"/>
      <c r="D2034" s="1"/>
      <c r="E2034" s="1"/>
      <c r="F2034" s="1"/>
      <c r="G2034" s="1"/>
      <c r="H2034" s="1"/>
      <c r="I2034" s="1"/>
      <c r="J2034" s="1"/>
      <c r="K2034" s="1"/>
    </row>
    <row r="2035" spans="1:11" ht="15">
      <c r="A2035" s="1"/>
      <c r="B2035" s="1"/>
      <c r="C2035" s="1"/>
      <c r="D2035" s="1"/>
      <c r="E2035" s="1"/>
      <c r="F2035" s="1"/>
      <c r="G2035" s="1"/>
      <c r="H2035" s="1"/>
      <c r="I2035" s="1"/>
      <c r="J2035" s="1"/>
      <c r="K2035" s="1"/>
    </row>
    <row r="2036" spans="1:11" ht="15">
      <c r="A2036" s="1"/>
      <c r="B2036" s="1"/>
      <c r="C2036" s="1"/>
      <c r="D2036" s="1"/>
      <c r="E2036" s="1"/>
      <c r="F2036" s="1"/>
      <c r="G2036" s="1"/>
      <c r="H2036" s="1"/>
      <c r="I2036" s="1"/>
      <c r="J2036" s="1"/>
      <c r="K2036" s="1"/>
    </row>
    <row r="2037" spans="1:11" ht="15">
      <c r="A2037" s="1"/>
      <c r="B2037" s="1"/>
      <c r="C2037" s="1"/>
      <c r="D2037" s="1"/>
      <c r="E2037" s="1"/>
      <c r="F2037" s="1"/>
      <c r="G2037" s="1"/>
      <c r="H2037" s="1"/>
      <c r="I2037" s="1"/>
      <c r="J2037" s="1"/>
      <c r="K2037" s="1"/>
    </row>
    <row r="2038" spans="1:11" ht="15">
      <c r="A2038" s="1"/>
      <c r="B2038" s="1"/>
      <c r="C2038" s="1"/>
      <c r="D2038" s="1"/>
      <c r="E2038" s="1"/>
      <c r="F2038" s="1"/>
      <c r="G2038" s="1"/>
      <c r="H2038" s="1"/>
      <c r="I2038" s="1"/>
      <c r="J2038" s="1"/>
      <c r="K2038" s="1"/>
    </row>
    <row r="2039" spans="1:11" ht="15">
      <c r="A2039" s="1"/>
      <c r="B2039" s="1"/>
      <c r="C2039" s="1"/>
      <c r="D2039" s="1"/>
      <c r="E2039" s="1"/>
      <c r="F2039" s="1"/>
      <c r="G2039" s="1"/>
      <c r="H2039" s="1"/>
      <c r="I2039" s="1"/>
      <c r="J2039" s="1"/>
      <c r="K2039" s="1"/>
    </row>
    <row r="2040" spans="1:11" ht="15">
      <c r="A2040" s="1"/>
      <c r="B2040" s="1"/>
      <c r="C2040" s="1"/>
      <c r="D2040" s="1"/>
      <c r="E2040" s="1"/>
      <c r="F2040" s="1"/>
      <c r="G2040" s="1"/>
      <c r="H2040" s="1"/>
      <c r="I2040" s="1"/>
      <c r="J2040" s="1"/>
      <c r="K2040" s="1"/>
    </row>
    <row r="2041" spans="1:11" ht="15">
      <c r="A2041" s="1"/>
      <c r="B2041" s="1"/>
      <c r="C2041" s="1"/>
      <c r="D2041" s="1"/>
      <c r="E2041" s="1"/>
      <c r="F2041" s="1"/>
      <c r="G2041" s="1"/>
      <c r="H2041" s="1"/>
      <c r="I2041" s="1"/>
      <c r="J2041" s="1"/>
      <c r="K2041" s="1"/>
    </row>
    <row r="2042" spans="1:11" ht="15">
      <c r="A2042" s="1"/>
      <c r="B2042" s="1"/>
      <c r="C2042" s="1"/>
      <c r="D2042" s="1"/>
      <c r="E2042" s="1"/>
      <c r="F2042" s="1"/>
      <c r="G2042" s="1"/>
      <c r="H2042" s="1"/>
      <c r="I2042" s="1"/>
      <c r="J2042" s="1"/>
      <c r="K2042" s="1"/>
    </row>
    <row r="2043" spans="1:11" ht="15">
      <c r="A2043" s="1"/>
      <c r="B2043" s="1"/>
      <c r="C2043" s="1"/>
      <c r="D2043" s="1"/>
      <c r="E2043" s="1"/>
      <c r="F2043" s="1"/>
      <c r="G2043" s="1"/>
      <c r="H2043" s="1"/>
      <c r="I2043" s="1"/>
      <c r="J2043" s="1"/>
      <c r="K2043" s="1"/>
    </row>
    <row r="2044" spans="1:11" ht="15">
      <c r="A2044" s="1"/>
      <c r="B2044" s="1"/>
      <c r="C2044" s="1"/>
      <c r="D2044" s="1"/>
      <c r="E2044" s="1"/>
      <c r="F2044" s="1"/>
      <c r="G2044" s="1"/>
      <c r="H2044" s="1"/>
      <c r="I2044" s="1"/>
      <c r="J2044" s="1"/>
      <c r="K2044" s="1"/>
    </row>
    <row r="2045" spans="1:11" ht="15">
      <c r="A2045" s="1"/>
      <c r="B2045" s="1"/>
      <c r="C2045" s="1"/>
      <c r="D2045" s="1"/>
      <c r="E2045" s="1"/>
      <c r="F2045" s="1"/>
      <c r="G2045" s="1"/>
      <c r="H2045" s="1"/>
      <c r="I2045" s="1"/>
      <c r="J2045" s="1"/>
      <c r="K2045" s="1"/>
    </row>
    <row r="2046" spans="1:11" ht="15">
      <c r="A2046" s="1"/>
      <c r="B2046" s="1"/>
      <c r="C2046" s="1"/>
      <c r="D2046" s="1"/>
      <c r="E2046" s="1"/>
      <c r="F2046" s="1"/>
      <c r="G2046" s="1"/>
      <c r="H2046" s="1"/>
      <c r="I2046" s="1"/>
      <c r="J2046" s="1"/>
      <c r="K2046" s="1"/>
    </row>
    <row r="2047" spans="1:11" ht="15">
      <c r="A2047" s="1"/>
      <c r="B2047" s="1"/>
      <c r="C2047" s="1"/>
      <c r="D2047" s="1"/>
      <c r="E2047" s="1"/>
      <c r="F2047" s="1"/>
      <c r="G2047" s="1"/>
      <c r="H2047" s="1"/>
      <c r="I2047" s="1"/>
      <c r="J2047" s="1"/>
      <c r="K2047" s="1"/>
    </row>
    <row r="2048" spans="1:11" ht="15">
      <c r="A2048" s="1"/>
      <c r="B2048" s="1"/>
      <c r="C2048" s="1"/>
      <c r="D2048" s="1"/>
      <c r="E2048" s="1"/>
      <c r="F2048" s="1"/>
      <c r="G2048" s="1"/>
      <c r="H2048" s="1"/>
      <c r="I2048" s="1"/>
      <c r="J2048" s="1"/>
      <c r="K2048" s="1"/>
    </row>
    <row r="2049" spans="1:11" ht="15">
      <c r="A2049" s="1"/>
      <c r="B2049" s="1"/>
      <c r="C2049" s="1"/>
      <c r="D2049" s="1"/>
      <c r="E2049" s="1"/>
      <c r="F2049" s="1"/>
      <c r="G2049" s="1"/>
      <c r="H2049" s="1"/>
      <c r="I2049" s="1"/>
      <c r="J2049" s="1"/>
      <c r="K2049" s="1"/>
    </row>
    <row r="2050" spans="1:11" ht="15">
      <c r="A2050" s="1"/>
      <c r="B2050" s="1"/>
      <c r="C2050" s="1"/>
      <c r="D2050" s="1"/>
      <c r="E2050" s="1"/>
      <c r="F2050" s="1"/>
      <c r="G2050" s="1"/>
      <c r="H2050" s="1"/>
      <c r="I2050" s="1"/>
      <c r="J2050" s="1"/>
      <c r="K2050" s="1"/>
    </row>
    <row r="2051" spans="1:11" ht="15">
      <c r="A2051" s="1"/>
      <c r="B2051" s="1"/>
      <c r="C2051" s="1"/>
      <c r="D2051" s="1"/>
      <c r="E2051" s="1"/>
      <c r="F2051" s="1"/>
      <c r="G2051" s="1"/>
      <c r="H2051" s="1"/>
      <c r="I2051" s="1"/>
      <c r="J2051" s="1"/>
      <c r="K2051" s="1"/>
    </row>
    <row r="2052" spans="1:11" ht="15">
      <c r="A2052" s="1"/>
      <c r="B2052" s="1"/>
      <c r="C2052" s="1"/>
      <c r="D2052" s="1"/>
      <c r="E2052" s="1"/>
      <c r="F2052" s="1"/>
      <c r="G2052" s="1"/>
      <c r="H2052" s="1"/>
      <c r="I2052" s="1"/>
      <c r="J2052" s="1"/>
      <c r="K2052" s="1"/>
    </row>
    <row r="2053" spans="1:11" ht="15">
      <c r="A2053" s="1"/>
      <c r="B2053" s="1"/>
      <c r="C2053" s="1"/>
      <c r="D2053" s="1"/>
      <c r="E2053" s="1"/>
      <c r="F2053" s="1"/>
      <c r="G2053" s="1"/>
      <c r="H2053" s="1"/>
      <c r="I2053" s="1"/>
      <c r="J2053" s="1"/>
      <c r="K2053" s="1"/>
    </row>
    <row r="2054" spans="1:11" ht="15">
      <c r="A2054" s="1"/>
      <c r="B2054" s="1"/>
      <c r="C2054" s="1"/>
      <c r="D2054" s="1"/>
      <c r="E2054" s="1"/>
      <c r="F2054" s="1"/>
      <c r="G2054" s="1"/>
      <c r="H2054" s="1"/>
      <c r="I2054" s="1"/>
      <c r="J2054" s="1"/>
      <c r="K2054" s="1"/>
    </row>
    <row r="2055" spans="1:11" ht="15">
      <c r="A2055" s="1"/>
      <c r="B2055" s="1"/>
      <c r="C2055" s="1"/>
      <c r="D2055" s="1"/>
      <c r="E2055" s="1"/>
      <c r="F2055" s="1"/>
      <c r="G2055" s="1"/>
      <c r="H2055" s="1"/>
      <c r="I2055" s="1"/>
      <c r="J2055" s="1"/>
      <c r="K2055" s="1"/>
    </row>
    <row r="2056" spans="1:11" ht="15">
      <c r="A2056" s="1"/>
      <c r="B2056" s="1"/>
      <c r="C2056" s="1"/>
      <c r="D2056" s="1"/>
      <c r="E2056" s="1"/>
      <c r="F2056" s="1"/>
      <c r="G2056" s="1"/>
      <c r="H2056" s="1"/>
      <c r="I2056" s="1"/>
      <c r="J2056" s="1"/>
      <c r="K2056" s="1"/>
    </row>
    <row r="2057" spans="1:11" ht="15">
      <c r="A2057" s="1"/>
      <c r="B2057" s="1"/>
      <c r="C2057" s="1"/>
      <c r="D2057" s="1"/>
      <c r="E2057" s="1"/>
      <c r="F2057" s="1"/>
      <c r="G2057" s="1"/>
      <c r="H2057" s="1"/>
      <c r="I2057" s="1"/>
      <c r="J2057" s="1"/>
      <c r="K2057" s="1"/>
    </row>
    <row r="2058" spans="1:11" ht="15">
      <c r="A2058" s="1"/>
      <c r="B2058" s="1"/>
      <c r="C2058" s="1"/>
      <c r="D2058" s="1"/>
      <c r="E2058" s="1"/>
      <c r="F2058" s="1"/>
      <c r="G2058" s="1"/>
      <c r="H2058" s="1"/>
      <c r="I2058" s="1"/>
      <c r="J2058" s="1"/>
      <c r="K2058" s="1"/>
    </row>
    <row r="2059" spans="1:11" ht="15">
      <c r="A2059" s="1"/>
      <c r="B2059" s="1"/>
      <c r="C2059" s="1"/>
      <c r="D2059" s="1"/>
      <c r="E2059" s="1"/>
      <c r="F2059" s="1"/>
      <c r="G2059" s="1"/>
      <c r="H2059" s="1"/>
      <c r="I2059" s="1"/>
      <c r="J2059" s="1"/>
      <c r="K2059" s="1"/>
    </row>
    <row r="2060" spans="1:11" ht="15">
      <c r="A2060" s="1"/>
      <c r="B2060" s="1"/>
      <c r="C2060" s="1"/>
      <c r="D2060" s="1"/>
      <c r="E2060" s="1"/>
      <c r="F2060" s="1"/>
      <c r="G2060" s="1"/>
      <c r="H2060" s="1"/>
      <c r="I2060" s="1"/>
      <c r="J2060" s="1"/>
      <c r="K2060" s="1"/>
    </row>
    <row r="2061" spans="1:11" ht="15">
      <c r="A2061" s="1"/>
      <c r="B2061" s="1"/>
      <c r="C2061" s="1"/>
      <c r="D2061" s="1"/>
      <c r="E2061" s="1"/>
      <c r="F2061" s="1"/>
      <c r="G2061" s="1"/>
      <c r="H2061" s="1"/>
      <c r="I2061" s="1"/>
      <c r="J2061" s="1"/>
      <c r="K2061" s="1"/>
    </row>
    <row r="2062" spans="1:11" ht="15">
      <c r="A2062" s="1"/>
      <c r="B2062" s="1"/>
      <c r="C2062" s="1"/>
      <c r="D2062" s="1"/>
      <c r="E2062" s="1"/>
      <c r="F2062" s="1"/>
      <c r="G2062" s="1"/>
      <c r="H2062" s="1"/>
      <c r="I2062" s="1"/>
      <c r="J2062" s="1"/>
      <c r="K2062" s="1"/>
    </row>
    <row r="2063" spans="1:11" ht="15">
      <c r="A2063" s="1"/>
      <c r="B2063" s="1"/>
      <c r="C2063" s="1"/>
      <c r="D2063" s="1"/>
      <c r="E2063" s="1"/>
      <c r="F2063" s="1"/>
      <c r="G2063" s="1"/>
      <c r="H2063" s="1"/>
      <c r="I2063" s="1"/>
      <c r="J2063" s="1"/>
      <c r="K2063" s="1"/>
    </row>
    <row r="2064" spans="1:11" ht="15">
      <c r="A2064" s="1"/>
      <c r="B2064" s="1"/>
      <c r="C2064" s="1"/>
      <c r="D2064" s="1"/>
      <c r="E2064" s="1"/>
      <c r="F2064" s="1"/>
      <c r="G2064" s="1"/>
      <c r="H2064" s="1"/>
      <c r="I2064" s="1"/>
      <c r="J2064" s="1"/>
      <c r="K2064" s="1"/>
    </row>
    <row r="2065" spans="1:11" ht="15">
      <c r="A2065" s="1"/>
      <c r="B2065" s="1"/>
      <c r="C2065" s="1"/>
      <c r="D2065" s="1"/>
      <c r="E2065" s="1"/>
      <c r="F2065" s="1"/>
      <c r="G2065" s="1"/>
      <c r="H2065" s="1"/>
      <c r="I2065" s="1"/>
      <c r="J2065" s="1"/>
      <c r="K2065" s="1"/>
    </row>
    <row r="2066" spans="1:11" ht="15">
      <c r="A2066" s="1"/>
      <c r="B2066" s="1"/>
      <c r="C2066" s="1"/>
      <c r="D2066" s="1"/>
      <c r="E2066" s="1"/>
      <c r="F2066" s="1"/>
      <c r="G2066" s="1"/>
      <c r="H2066" s="1"/>
      <c r="I2066" s="1"/>
      <c r="J2066" s="1"/>
      <c r="K2066" s="1"/>
    </row>
    <row r="2067" spans="1:11" ht="15">
      <c r="A2067" s="1"/>
      <c r="B2067" s="1"/>
      <c r="C2067" s="1"/>
      <c r="D2067" s="1"/>
      <c r="E2067" s="1"/>
      <c r="F2067" s="1"/>
      <c r="G2067" s="1"/>
      <c r="H2067" s="1"/>
      <c r="I2067" s="1"/>
      <c r="J2067" s="1"/>
      <c r="K2067" s="1"/>
    </row>
    <row r="2068" spans="1:11" ht="15">
      <c r="A2068" s="1"/>
      <c r="B2068" s="1"/>
      <c r="C2068" s="1"/>
      <c r="D2068" s="1"/>
      <c r="E2068" s="1"/>
      <c r="F2068" s="1"/>
      <c r="G2068" s="1"/>
      <c r="H2068" s="1"/>
      <c r="I2068" s="1"/>
      <c r="J2068" s="1"/>
      <c r="K2068" s="1"/>
    </row>
    <row r="2069" spans="1:11" ht="15">
      <c r="A2069" s="1"/>
      <c r="B2069" s="1"/>
      <c r="C2069" s="1"/>
      <c r="D2069" s="1"/>
      <c r="E2069" s="1"/>
      <c r="F2069" s="1"/>
      <c r="G2069" s="1"/>
      <c r="H2069" s="1"/>
      <c r="I2069" s="1"/>
      <c r="J2069" s="1"/>
      <c r="K2069" s="1"/>
    </row>
    <row r="2070" spans="1:11" ht="15">
      <c r="A2070" s="1"/>
      <c r="B2070" s="1"/>
      <c r="C2070" s="1"/>
      <c r="D2070" s="1"/>
      <c r="E2070" s="1"/>
      <c r="F2070" s="1"/>
      <c r="G2070" s="1"/>
      <c r="H2070" s="1"/>
      <c r="I2070" s="1"/>
      <c r="J2070" s="1"/>
      <c r="K2070" s="1"/>
    </row>
    <row r="2071" spans="1:11" ht="15">
      <c r="A2071" s="1"/>
      <c r="B2071" s="1"/>
      <c r="C2071" s="1"/>
      <c r="D2071" s="1"/>
      <c r="E2071" s="1"/>
      <c r="F2071" s="1"/>
      <c r="G2071" s="1"/>
      <c r="H2071" s="1"/>
      <c r="I2071" s="1"/>
      <c r="J2071" s="1"/>
      <c r="K2071" s="1"/>
    </row>
    <row r="2072" spans="1:11" ht="15">
      <c r="A2072" s="1"/>
      <c r="B2072" s="1"/>
      <c r="C2072" s="1"/>
      <c r="D2072" s="1"/>
      <c r="E2072" s="1"/>
      <c r="F2072" s="1"/>
      <c r="G2072" s="1"/>
      <c r="H2072" s="1"/>
      <c r="I2072" s="1"/>
      <c r="J2072" s="1"/>
      <c r="K2072" s="1"/>
    </row>
    <row r="2073" spans="1:11" ht="15">
      <c r="A2073" s="1"/>
      <c r="B2073" s="1"/>
      <c r="C2073" s="1"/>
      <c r="D2073" s="1"/>
      <c r="E2073" s="1"/>
      <c r="F2073" s="1"/>
      <c r="G2073" s="1"/>
      <c r="H2073" s="1"/>
      <c r="I2073" s="1"/>
      <c r="J2073" s="1"/>
      <c r="K2073" s="1"/>
    </row>
    <row r="2074" spans="1:11" ht="15">
      <c r="A2074" s="1"/>
      <c r="B2074" s="1"/>
      <c r="C2074" s="1"/>
      <c r="D2074" s="1"/>
      <c r="E2074" s="1"/>
      <c r="F2074" s="1"/>
      <c r="G2074" s="1"/>
      <c r="H2074" s="1"/>
      <c r="I2074" s="1"/>
      <c r="J2074" s="1"/>
      <c r="K2074" s="1"/>
    </row>
    <row r="2075" spans="1:11" ht="15">
      <c r="A2075" s="1"/>
      <c r="B2075" s="1"/>
      <c r="C2075" s="1"/>
      <c r="D2075" s="1"/>
      <c r="E2075" s="1"/>
      <c r="F2075" s="1"/>
      <c r="G2075" s="1"/>
      <c r="H2075" s="1"/>
      <c r="I2075" s="1"/>
      <c r="J2075" s="1"/>
      <c r="K2075" s="1"/>
    </row>
    <row r="2076" spans="1:11" ht="15">
      <c r="A2076" s="1"/>
      <c r="B2076" s="1"/>
      <c r="C2076" s="1"/>
      <c r="D2076" s="1"/>
      <c r="E2076" s="1"/>
      <c r="F2076" s="1"/>
      <c r="G2076" s="1"/>
      <c r="H2076" s="1"/>
      <c r="I2076" s="1"/>
      <c r="J2076" s="1"/>
      <c r="K2076" s="1"/>
    </row>
    <row r="2077" spans="1:11" ht="15">
      <c r="A2077" s="1"/>
      <c r="B2077" s="1"/>
      <c r="C2077" s="1"/>
      <c r="D2077" s="1"/>
      <c r="E2077" s="1"/>
      <c r="F2077" s="1"/>
      <c r="G2077" s="1"/>
      <c r="H2077" s="1"/>
      <c r="I2077" s="1"/>
      <c r="J2077" s="1"/>
      <c r="K2077" s="1"/>
    </row>
    <row r="2078" spans="1:11" ht="15">
      <c r="A2078" s="1"/>
      <c r="B2078" s="1"/>
      <c r="C2078" s="1"/>
      <c r="D2078" s="1"/>
      <c r="E2078" s="1"/>
      <c r="F2078" s="1"/>
      <c r="G2078" s="1"/>
      <c r="H2078" s="1"/>
      <c r="I2078" s="1"/>
      <c r="J2078" s="1"/>
      <c r="K2078" s="1"/>
    </row>
    <row r="2079" spans="1:11" ht="15">
      <c r="A2079" s="1"/>
      <c r="B2079" s="1"/>
      <c r="C2079" s="1"/>
      <c r="D2079" s="1"/>
      <c r="E2079" s="1"/>
      <c r="F2079" s="1"/>
      <c r="G2079" s="1"/>
      <c r="H2079" s="1"/>
      <c r="I2079" s="1"/>
      <c r="J2079" s="1"/>
      <c r="K2079" s="1"/>
    </row>
    <row r="2080" spans="1:11" ht="15">
      <c r="A2080" s="1"/>
      <c r="B2080" s="1"/>
      <c r="C2080" s="1"/>
      <c r="D2080" s="1"/>
      <c r="E2080" s="1"/>
      <c r="F2080" s="1"/>
      <c r="G2080" s="1"/>
      <c r="H2080" s="1"/>
      <c r="I2080" s="1"/>
      <c r="J2080" s="1"/>
      <c r="K2080" s="1"/>
    </row>
    <row r="2081" spans="1:11" ht="15">
      <c r="A2081" s="1"/>
      <c r="B2081" s="1"/>
      <c r="C2081" s="1"/>
      <c r="D2081" s="1"/>
      <c r="E2081" s="1"/>
      <c r="F2081" s="1"/>
      <c r="G2081" s="1"/>
      <c r="H2081" s="1"/>
      <c r="I2081" s="1"/>
      <c r="J2081" s="1"/>
      <c r="K2081" s="1"/>
    </row>
    <row r="2082" spans="1:11" ht="15">
      <c r="A2082" s="1"/>
      <c r="B2082" s="1"/>
      <c r="C2082" s="1"/>
      <c r="D2082" s="1"/>
      <c r="E2082" s="1"/>
      <c r="F2082" s="1"/>
      <c r="G2082" s="1"/>
      <c r="H2082" s="1"/>
      <c r="I2082" s="1"/>
      <c r="J2082" s="1"/>
      <c r="K2082" s="1"/>
    </row>
    <row r="2083" spans="1:11" ht="15">
      <c r="A2083" s="1"/>
      <c r="B2083" s="1"/>
      <c r="C2083" s="1"/>
      <c r="D2083" s="1"/>
      <c r="E2083" s="1"/>
      <c r="F2083" s="1"/>
      <c r="G2083" s="1"/>
      <c r="H2083" s="1"/>
      <c r="I2083" s="1"/>
      <c r="J2083" s="1"/>
      <c r="K2083" s="1"/>
    </row>
    <row r="2084" spans="1:11" ht="15">
      <c r="A2084" s="1"/>
      <c r="B2084" s="1"/>
      <c r="C2084" s="1"/>
      <c r="D2084" s="1"/>
      <c r="E2084" s="1"/>
      <c r="F2084" s="1"/>
      <c r="G2084" s="1"/>
      <c r="H2084" s="1"/>
      <c r="I2084" s="1"/>
      <c r="J2084" s="1"/>
      <c r="K2084" s="1"/>
    </row>
    <row r="2085" spans="1:11" ht="15">
      <c r="A2085" s="1"/>
      <c r="B2085" s="1"/>
      <c r="C2085" s="1"/>
      <c r="D2085" s="1"/>
      <c r="E2085" s="1"/>
      <c r="F2085" s="1"/>
      <c r="G2085" s="1"/>
      <c r="H2085" s="1"/>
      <c r="I2085" s="1"/>
      <c r="J2085" s="1"/>
      <c r="K2085" s="1"/>
    </row>
    <row r="2086" spans="1:11" ht="15">
      <c r="A2086" s="1"/>
      <c r="B2086" s="1"/>
      <c r="C2086" s="1"/>
      <c r="D2086" s="1"/>
      <c r="E2086" s="1"/>
      <c r="F2086" s="1"/>
      <c r="G2086" s="1"/>
      <c r="H2086" s="1"/>
      <c r="I2086" s="1"/>
      <c r="J2086" s="1"/>
      <c r="K2086" s="1"/>
    </row>
    <row r="2087" spans="1:11" ht="15">
      <c r="A2087" s="1"/>
      <c r="B2087" s="1"/>
      <c r="C2087" s="1"/>
      <c r="D2087" s="1"/>
      <c r="E2087" s="1"/>
      <c r="F2087" s="1"/>
      <c r="G2087" s="1"/>
      <c r="H2087" s="1"/>
      <c r="I2087" s="1"/>
      <c r="J2087" s="1"/>
      <c r="K2087" s="1"/>
    </row>
    <row r="2088" spans="1:11" ht="15">
      <c r="A2088" s="1"/>
      <c r="B2088" s="1"/>
      <c r="C2088" s="1"/>
      <c r="D2088" s="1"/>
      <c r="E2088" s="1"/>
      <c r="F2088" s="1"/>
      <c r="G2088" s="1"/>
      <c r="H2088" s="1"/>
      <c r="I2088" s="1"/>
      <c r="J2088" s="1"/>
      <c r="K2088" s="1"/>
    </row>
    <row r="2089" spans="1:11" ht="15">
      <c r="A2089" s="1"/>
      <c r="B2089" s="1"/>
      <c r="C2089" s="1"/>
      <c r="D2089" s="1"/>
      <c r="E2089" s="1"/>
      <c r="F2089" s="1"/>
      <c r="G2089" s="1"/>
      <c r="H2089" s="1"/>
      <c r="I2089" s="1"/>
      <c r="J2089" s="1"/>
      <c r="K2089" s="1"/>
    </row>
    <row r="2090" spans="1:11" ht="15">
      <c r="A2090" s="1"/>
      <c r="B2090" s="1"/>
      <c r="C2090" s="1"/>
      <c r="D2090" s="1"/>
      <c r="E2090" s="1"/>
      <c r="F2090" s="1"/>
      <c r="G2090" s="1"/>
      <c r="H2090" s="1"/>
      <c r="I2090" s="1"/>
      <c r="J2090" s="1"/>
      <c r="K2090" s="1"/>
    </row>
    <row r="2091" spans="1:11" ht="15">
      <c r="A2091" s="1"/>
      <c r="B2091" s="1"/>
      <c r="C2091" s="1"/>
      <c r="D2091" s="1"/>
      <c r="E2091" s="1"/>
      <c r="F2091" s="1"/>
      <c r="G2091" s="1"/>
      <c r="H2091" s="1"/>
      <c r="I2091" s="1"/>
      <c r="J2091" s="1"/>
      <c r="K2091" s="1"/>
    </row>
    <row r="2092" spans="1:11" ht="15">
      <c r="A2092" s="1"/>
      <c r="B2092" s="1"/>
      <c r="C2092" s="1"/>
      <c r="D2092" s="1"/>
      <c r="E2092" s="1"/>
      <c r="F2092" s="1"/>
      <c r="G2092" s="1"/>
      <c r="H2092" s="1"/>
      <c r="I2092" s="1"/>
      <c r="J2092" s="1"/>
      <c r="K2092" s="1"/>
    </row>
    <row r="2093" spans="1:11" ht="15">
      <c r="A2093" s="1"/>
      <c r="B2093" s="1"/>
      <c r="C2093" s="1"/>
      <c r="D2093" s="1"/>
      <c r="E2093" s="1"/>
      <c r="F2093" s="1"/>
      <c r="G2093" s="1"/>
      <c r="H2093" s="1"/>
      <c r="I2093" s="1"/>
      <c r="J2093" s="1"/>
      <c r="K2093" s="1"/>
    </row>
    <row r="2094" spans="1:11" ht="15">
      <c r="A2094" s="1"/>
      <c r="B2094" s="1"/>
      <c r="C2094" s="1"/>
      <c r="D2094" s="1"/>
      <c r="E2094" s="1"/>
      <c r="F2094" s="1"/>
      <c r="G2094" s="1"/>
      <c r="H2094" s="1"/>
      <c r="I2094" s="1"/>
      <c r="J2094" s="1"/>
      <c r="K2094" s="1"/>
    </row>
    <row r="2095" spans="1:11" ht="15">
      <c r="A2095" s="1"/>
      <c r="B2095" s="1"/>
      <c r="C2095" s="1"/>
      <c r="D2095" s="1"/>
      <c r="E2095" s="1"/>
      <c r="F2095" s="1"/>
      <c r="G2095" s="1"/>
      <c r="H2095" s="1"/>
      <c r="I2095" s="1"/>
      <c r="J2095" s="1"/>
      <c r="K2095" s="1"/>
    </row>
    <row r="2096" spans="1:11" ht="15">
      <c r="A2096" s="1"/>
      <c r="B2096" s="1"/>
      <c r="C2096" s="1"/>
      <c r="D2096" s="1"/>
      <c r="E2096" s="1"/>
      <c r="F2096" s="1"/>
      <c r="G2096" s="1"/>
      <c r="H2096" s="1"/>
      <c r="I2096" s="1"/>
      <c r="J2096" s="1"/>
      <c r="K2096" s="1"/>
    </row>
    <row r="2097" spans="1:11" ht="15">
      <c r="A2097" s="1"/>
      <c r="B2097" s="1"/>
      <c r="C2097" s="1"/>
      <c r="D2097" s="1"/>
      <c r="E2097" s="1"/>
      <c r="F2097" s="1"/>
      <c r="G2097" s="1"/>
      <c r="H2097" s="1"/>
      <c r="I2097" s="1"/>
      <c r="J2097" s="1"/>
      <c r="K2097" s="1"/>
    </row>
    <row r="2098" spans="1:11" ht="15">
      <c r="A2098" s="1"/>
      <c r="B2098" s="1"/>
      <c r="C2098" s="1"/>
      <c r="D2098" s="1"/>
      <c r="E2098" s="1"/>
      <c r="F2098" s="1"/>
      <c r="G2098" s="1"/>
      <c r="H2098" s="1"/>
      <c r="I2098" s="1"/>
      <c r="J2098" s="1"/>
      <c r="K2098" s="1"/>
    </row>
    <row r="2099" spans="1:11" ht="15">
      <c r="A2099" s="1"/>
      <c r="B2099" s="1"/>
      <c r="C2099" s="1"/>
      <c r="D2099" s="1"/>
      <c r="E2099" s="1"/>
      <c r="F2099" s="1"/>
      <c r="G2099" s="1"/>
      <c r="H2099" s="1"/>
      <c r="I2099" s="1"/>
      <c r="J2099" s="1"/>
      <c r="K2099" s="1"/>
    </row>
    <row r="2100" spans="1:11" ht="15">
      <c r="A2100" s="1"/>
      <c r="B2100" s="1"/>
      <c r="C2100" s="1"/>
      <c r="D2100" s="1"/>
      <c r="E2100" s="1"/>
      <c r="F2100" s="1"/>
      <c r="G2100" s="1"/>
      <c r="H2100" s="1"/>
      <c r="I2100" s="1"/>
      <c r="J2100" s="1"/>
      <c r="K2100" s="1"/>
    </row>
    <row r="2101" spans="1:11" ht="15">
      <c r="A2101" s="1"/>
      <c r="B2101" s="1"/>
      <c r="C2101" s="1"/>
      <c r="D2101" s="1"/>
      <c r="E2101" s="1"/>
      <c r="F2101" s="1"/>
      <c r="G2101" s="1"/>
      <c r="H2101" s="1"/>
      <c r="I2101" s="1"/>
      <c r="J2101" s="1"/>
      <c r="K2101" s="1"/>
    </row>
    <row r="2102" spans="1:11" ht="15">
      <c r="A2102" s="1"/>
      <c r="B2102" s="1"/>
      <c r="C2102" s="1"/>
      <c r="D2102" s="1"/>
      <c r="E2102" s="1"/>
      <c r="F2102" s="1"/>
      <c r="G2102" s="1"/>
      <c r="H2102" s="1"/>
      <c r="I2102" s="1"/>
      <c r="J2102" s="1"/>
      <c r="K2102" s="1"/>
    </row>
    <row r="2103" spans="1:11" ht="15">
      <c r="A2103" s="1"/>
      <c r="B2103" s="1"/>
      <c r="C2103" s="1"/>
      <c r="D2103" s="1"/>
      <c r="E2103" s="1"/>
      <c r="F2103" s="1"/>
      <c r="G2103" s="1"/>
      <c r="H2103" s="1"/>
      <c r="I2103" s="1"/>
      <c r="J2103" s="1"/>
      <c r="K2103" s="1"/>
    </row>
    <row r="2104" spans="1:11" ht="15">
      <c r="A2104" s="1"/>
      <c r="B2104" s="1"/>
      <c r="C2104" s="1"/>
      <c r="D2104" s="1"/>
      <c r="E2104" s="1"/>
      <c r="F2104" s="1"/>
      <c r="G2104" s="1"/>
      <c r="H2104" s="1"/>
      <c r="I2104" s="1"/>
      <c r="J2104" s="1"/>
      <c r="K2104" s="1"/>
    </row>
    <row r="2105" spans="1:11" ht="15">
      <c r="A2105" s="1"/>
      <c r="B2105" s="1"/>
      <c r="C2105" s="1"/>
      <c r="D2105" s="1"/>
      <c r="E2105" s="1"/>
      <c r="F2105" s="1"/>
      <c r="G2105" s="1"/>
      <c r="H2105" s="1"/>
      <c r="I2105" s="1"/>
      <c r="J2105" s="1"/>
      <c r="K2105" s="1"/>
    </row>
    <row r="2106" spans="1:11" ht="15">
      <c r="A2106" s="1"/>
      <c r="B2106" s="1"/>
      <c r="C2106" s="1"/>
      <c r="D2106" s="1"/>
      <c r="E2106" s="1"/>
      <c r="F2106" s="1"/>
      <c r="G2106" s="1"/>
      <c r="H2106" s="1"/>
      <c r="I2106" s="1"/>
      <c r="J2106" s="1"/>
      <c r="K2106" s="1"/>
    </row>
    <row r="2107" spans="1:11" ht="15">
      <c r="A2107" s="1"/>
      <c r="B2107" s="1"/>
      <c r="C2107" s="1"/>
      <c r="D2107" s="1"/>
      <c r="E2107" s="1"/>
      <c r="F2107" s="1"/>
      <c r="G2107" s="1"/>
      <c r="H2107" s="1"/>
      <c r="I2107" s="1"/>
      <c r="J2107" s="1"/>
      <c r="K2107" s="1"/>
    </row>
    <row r="2108" spans="1:11" ht="15">
      <c r="A2108" s="1"/>
      <c r="B2108" s="1"/>
      <c r="C2108" s="1"/>
      <c r="D2108" s="1"/>
      <c r="E2108" s="1"/>
      <c r="F2108" s="1"/>
      <c r="G2108" s="1"/>
      <c r="H2108" s="1"/>
      <c r="I2108" s="1"/>
      <c r="J2108" s="1"/>
      <c r="K2108" s="1"/>
    </row>
    <row r="2109" spans="1:11" ht="15">
      <c r="A2109" s="1"/>
      <c r="B2109" s="1"/>
      <c r="C2109" s="1"/>
      <c r="D2109" s="1"/>
      <c r="E2109" s="1"/>
      <c r="F2109" s="1"/>
      <c r="G2109" s="1"/>
      <c r="H2109" s="1"/>
      <c r="I2109" s="1"/>
      <c r="J2109" s="1"/>
      <c r="K2109" s="1"/>
    </row>
    <row r="2110" spans="1:11" ht="15">
      <c r="A2110" s="1"/>
      <c r="B2110" s="1"/>
      <c r="C2110" s="1"/>
      <c r="D2110" s="1"/>
      <c r="E2110" s="1"/>
      <c r="F2110" s="1"/>
      <c r="G2110" s="1"/>
      <c r="H2110" s="1"/>
      <c r="I2110" s="1"/>
      <c r="J2110" s="1"/>
      <c r="K2110" s="1"/>
    </row>
    <row r="2111" spans="1:11" ht="15">
      <c r="A2111" s="1"/>
      <c r="B2111" s="1"/>
      <c r="C2111" s="1"/>
      <c r="D2111" s="1"/>
      <c r="E2111" s="1"/>
      <c r="F2111" s="1"/>
      <c r="G2111" s="1"/>
      <c r="H2111" s="1"/>
      <c r="I2111" s="1"/>
      <c r="J2111" s="1"/>
      <c r="K2111" s="1"/>
    </row>
    <row r="2112" spans="1:11" ht="15">
      <c r="A2112" s="1"/>
      <c r="B2112" s="1"/>
      <c r="C2112" s="1"/>
      <c r="D2112" s="1"/>
      <c r="E2112" s="1"/>
      <c r="F2112" s="1"/>
      <c r="G2112" s="1"/>
      <c r="H2112" s="1"/>
      <c r="I2112" s="1"/>
      <c r="J2112" s="1"/>
      <c r="K2112" s="1"/>
    </row>
    <row r="2113" spans="1:11" ht="15">
      <c r="A2113" s="1"/>
      <c r="B2113" s="1"/>
      <c r="C2113" s="1"/>
      <c r="D2113" s="1"/>
      <c r="E2113" s="1"/>
      <c r="F2113" s="1"/>
      <c r="G2113" s="1"/>
      <c r="H2113" s="1"/>
      <c r="I2113" s="1"/>
      <c r="J2113" s="1"/>
      <c r="K2113" s="1"/>
    </row>
    <row r="2114" spans="1:11" ht="15">
      <c r="A2114" s="1"/>
      <c r="B2114" s="1"/>
      <c r="C2114" s="1"/>
      <c r="D2114" s="1"/>
      <c r="E2114" s="1"/>
      <c r="F2114" s="1"/>
      <c r="G2114" s="1"/>
      <c r="H2114" s="1"/>
      <c r="I2114" s="1"/>
      <c r="J2114" s="1"/>
      <c r="K2114" s="1"/>
    </row>
    <row r="2115" spans="1:11" ht="15">
      <c r="A2115" s="1"/>
      <c r="B2115" s="1"/>
      <c r="C2115" s="1"/>
      <c r="D2115" s="1"/>
      <c r="E2115" s="1"/>
      <c r="F2115" s="1"/>
      <c r="G2115" s="1"/>
      <c r="H2115" s="1"/>
      <c r="I2115" s="1"/>
      <c r="J2115" s="1"/>
      <c r="K2115" s="1"/>
    </row>
    <row r="2116" spans="1:11" ht="15">
      <c r="A2116" s="1"/>
      <c r="B2116" s="1"/>
      <c r="C2116" s="1"/>
      <c r="D2116" s="1"/>
      <c r="E2116" s="1"/>
      <c r="F2116" s="1"/>
      <c r="G2116" s="1"/>
      <c r="H2116" s="1"/>
      <c r="I2116" s="1"/>
      <c r="J2116" s="1"/>
      <c r="K2116" s="1"/>
    </row>
    <row r="2117" spans="1:11" ht="15">
      <c r="A2117" s="1"/>
      <c r="B2117" s="1"/>
      <c r="C2117" s="1"/>
      <c r="D2117" s="1"/>
      <c r="E2117" s="1"/>
      <c r="F2117" s="1"/>
      <c r="G2117" s="1"/>
      <c r="H2117" s="1"/>
      <c r="I2117" s="1"/>
      <c r="J2117" s="1"/>
      <c r="K2117" s="1"/>
    </row>
    <row r="2118" spans="1:11" ht="15">
      <c r="A2118" s="1"/>
      <c r="B2118" s="1"/>
      <c r="C2118" s="1"/>
      <c r="D2118" s="1"/>
      <c r="E2118" s="1"/>
      <c r="F2118" s="1"/>
      <c r="G2118" s="1"/>
      <c r="H2118" s="1"/>
      <c r="I2118" s="1"/>
      <c r="J2118" s="1"/>
      <c r="K2118" s="1"/>
    </row>
    <row r="2119" spans="1:11" ht="15">
      <c r="A2119" s="1"/>
      <c r="B2119" s="1"/>
      <c r="C2119" s="1"/>
      <c r="D2119" s="1"/>
      <c r="E2119" s="1"/>
      <c r="F2119" s="1"/>
      <c r="G2119" s="1"/>
      <c r="H2119" s="1"/>
      <c r="I2119" s="1"/>
      <c r="J2119" s="1"/>
      <c r="K2119" s="1"/>
    </row>
    <row r="2120" spans="1:11" ht="15">
      <c r="A2120" s="1"/>
      <c r="B2120" s="1"/>
      <c r="C2120" s="1"/>
      <c r="D2120" s="1"/>
      <c r="E2120" s="1"/>
      <c r="F2120" s="1"/>
      <c r="G2120" s="1"/>
      <c r="H2120" s="1"/>
      <c r="I2120" s="1"/>
      <c r="J2120" s="1"/>
      <c r="K2120" s="1"/>
    </row>
    <row r="2121" spans="1:11" ht="15">
      <c r="A2121" s="1"/>
      <c r="B2121" s="1"/>
      <c r="C2121" s="1"/>
      <c r="D2121" s="1"/>
      <c r="E2121" s="1"/>
      <c r="F2121" s="1"/>
      <c r="G2121" s="1"/>
      <c r="H2121" s="1"/>
      <c r="I2121" s="1"/>
      <c r="J2121" s="1"/>
      <c r="K2121" s="1"/>
    </row>
    <row r="2122" spans="1:11" ht="15">
      <c r="A2122" s="1"/>
      <c r="B2122" s="1"/>
      <c r="C2122" s="1"/>
      <c r="D2122" s="1"/>
      <c r="E2122" s="1"/>
      <c r="F2122" s="1"/>
      <c r="G2122" s="1"/>
      <c r="H2122" s="1"/>
      <c r="I2122" s="1"/>
      <c r="J2122" s="1"/>
      <c r="K2122" s="1"/>
    </row>
    <row r="2123" spans="1:11" ht="15">
      <c r="A2123" s="1"/>
      <c r="B2123" s="1"/>
      <c r="C2123" s="1"/>
      <c r="D2123" s="1"/>
      <c r="E2123" s="1"/>
      <c r="F2123" s="1"/>
      <c r="G2123" s="1"/>
      <c r="H2123" s="1"/>
      <c r="I2123" s="1"/>
      <c r="J2123" s="1"/>
      <c r="K2123" s="1"/>
    </row>
    <row r="2124" spans="1:11" ht="15">
      <c r="A2124" s="1"/>
      <c r="B2124" s="1"/>
      <c r="C2124" s="1"/>
      <c r="D2124" s="1"/>
      <c r="E2124" s="1"/>
      <c r="F2124" s="1"/>
      <c r="G2124" s="1"/>
      <c r="H2124" s="1"/>
      <c r="I2124" s="1"/>
      <c r="J2124" s="1"/>
      <c r="K2124" s="1"/>
    </row>
    <row r="2125" spans="1:11" ht="15">
      <c r="A2125" s="1"/>
      <c r="B2125" s="1"/>
      <c r="C2125" s="1"/>
      <c r="D2125" s="1"/>
      <c r="E2125" s="1"/>
      <c r="F2125" s="1"/>
      <c r="G2125" s="1"/>
      <c r="H2125" s="1"/>
      <c r="I2125" s="1"/>
      <c r="J2125" s="1"/>
      <c r="K2125" s="1"/>
    </row>
    <row r="2126" spans="1:11" ht="15">
      <c r="A2126" s="1"/>
      <c r="B2126" s="1"/>
      <c r="C2126" s="1"/>
      <c r="D2126" s="1"/>
      <c r="E2126" s="1"/>
      <c r="F2126" s="1"/>
      <c r="G2126" s="1"/>
      <c r="H2126" s="1"/>
      <c r="I2126" s="1"/>
      <c r="J2126" s="1"/>
      <c r="K2126" s="1"/>
    </row>
    <row r="2127" spans="1:11" ht="15">
      <c r="A2127" s="1"/>
      <c r="B2127" s="1"/>
      <c r="C2127" s="1"/>
      <c r="D2127" s="1"/>
      <c r="E2127" s="1"/>
      <c r="F2127" s="1"/>
      <c r="G2127" s="1"/>
      <c r="H2127" s="1"/>
      <c r="I2127" s="1"/>
      <c r="J2127" s="1"/>
      <c r="K2127" s="1"/>
    </row>
    <row r="2128" spans="1:11" ht="15">
      <c r="A2128" s="1"/>
      <c r="B2128" s="1"/>
      <c r="C2128" s="1"/>
      <c r="D2128" s="1"/>
      <c r="E2128" s="1"/>
      <c r="F2128" s="1"/>
      <c r="G2128" s="1"/>
      <c r="H2128" s="1"/>
      <c r="I2128" s="1"/>
      <c r="J2128" s="1"/>
      <c r="K2128" s="1"/>
    </row>
    <row r="2129" spans="1:11" ht="15">
      <c r="A2129" s="1"/>
      <c r="B2129" s="1"/>
      <c r="C2129" s="1"/>
      <c r="D2129" s="1"/>
      <c r="E2129" s="1"/>
      <c r="F2129" s="1"/>
      <c r="G2129" s="1"/>
      <c r="H2129" s="1"/>
      <c r="I2129" s="1"/>
      <c r="J2129" s="1"/>
      <c r="K2129" s="1"/>
    </row>
    <row r="2130" spans="1:11" ht="15">
      <c r="A2130" s="1"/>
      <c r="B2130" s="1"/>
      <c r="C2130" s="1"/>
      <c r="D2130" s="1"/>
      <c r="E2130" s="1"/>
      <c r="F2130" s="1"/>
      <c r="G2130" s="1"/>
      <c r="H2130" s="1"/>
      <c r="I2130" s="1"/>
      <c r="J2130" s="1"/>
      <c r="K2130" s="1"/>
    </row>
    <row r="2131" spans="1:11" ht="15">
      <c r="A2131" s="1"/>
      <c r="B2131" s="1"/>
      <c r="C2131" s="1"/>
      <c r="D2131" s="1"/>
      <c r="E2131" s="1"/>
      <c r="F2131" s="1"/>
      <c r="G2131" s="1"/>
      <c r="H2131" s="1"/>
      <c r="I2131" s="1"/>
      <c r="J2131" s="1"/>
      <c r="K2131" s="1"/>
    </row>
    <row r="2132" spans="1:11" ht="15">
      <c r="A2132" s="1"/>
      <c r="B2132" s="1"/>
      <c r="C2132" s="1"/>
      <c r="D2132" s="1"/>
      <c r="E2132" s="1"/>
      <c r="F2132" s="1"/>
      <c r="G2132" s="1"/>
      <c r="H2132" s="1"/>
      <c r="I2132" s="1"/>
      <c r="J2132" s="1"/>
      <c r="K2132" s="1"/>
    </row>
    <row r="2133" spans="1:11" ht="15">
      <c r="A2133" s="1"/>
      <c r="B2133" s="1"/>
      <c r="C2133" s="1"/>
      <c r="D2133" s="1"/>
      <c r="E2133" s="1"/>
      <c r="F2133" s="1"/>
      <c r="G2133" s="1"/>
      <c r="H2133" s="1"/>
      <c r="I2133" s="1"/>
      <c r="J2133" s="1"/>
      <c r="K2133" s="1"/>
    </row>
    <row r="2134" spans="1:11" ht="15">
      <c r="A2134" s="1"/>
      <c r="B2134" s="1"/>
      <c r="C2134" s="1"/>
      <c r="D2134" s="1"/>
      <c r="E2134" s="1"/>
      <c r="F2134" s="1"/>
      <c r="G2134" s="1"/>
      <c r="H2134" s="1"/>
      <c r="I2134" s="1"/>
      <c r="J2134" s="1"/>
      <c r="K2134" s="1"/>
    </row>
    <row r="2135" spans="1:11" ht="15">
      <c r="A2135" s="1"/>
      <c r="B2135" s="1"/>
      <c r="C2135" s="1"/>
      <c r="D2135" s="1"/>
      <c r="E2135" s="1"/>
      <c r="F2135" s="1"/>
      <c r="G2135" s="1"/>
      <c r="H2135" s="1"/>
      <c r="I2135" s="1"/>
      <c r="J2135" s="1"/>
      <c r="K2135" s="1"/>
    </row>
    <row r="2136" spans="1:11" ht="15">
      <c r="A2136" s="1"/>
      <c r="B2136" s="1"/>
      <c r="C2136" s="1"/>
      <c r="D2136" s="1"/>
      <c r="E2136" s="1"/>
      <c r="F2136" s="1"/>
      <c r="G2136" s="1"/>
      <c r="H2136" s="1"/>
      <c r="I2136" s="1"/>
      <c r="J2136" s="1"/>
      <c r="K2136" s="1"/>
    </row>
    <row r="2137" spans="1:11" ht="15">
      <c r="A2137" s="1"/>
      <c r="B2137" s="1"/>
      <c r="C2137" s="1"/>
      <c r="D2137" s="1"/>
      <c r="E2137" s="1"/>
      <c r="F2137" s="1"/>
      <c r="G2137" s="1"/>
      <c r="H2137" s="1"/>
      <c r="I2137" s="1"/>
      <c r="J2137" s="1"/>
      <c r="K2137" s="1"/>
    </row>
    <row r="2138" spans="1:11" ht="15">
      <c r="A2138" s="1"/>
      <c r="B2138" s="1"/>
      <c r="C2138" s="1"/>
      <c r="D2138" s="1"/>
      <c r="E2138" s="1"/>
      <c r="F2138" s="1"/>
      <c r="G2138" s="1"/>
      <c r="H2138" s="1"/>
      <c r="I2138" s="1"/>
      <c r="J2138" s="1"/>
      <c r="K2138" s="1"/>
    </row>
    <row r="2139" spans="1:11" ht="15">
      <c r="A2139" s="1"/>
      <c r="B2139" s="1"/>
      <c r="C2139" s="1"/>
      <c r="D2139" s="1"/>
      <c r="E2139" s="1"/>
      <c r="F2139" s="1"/>
      <c r="G2139" s="1"/>
      <c r="H2139" s="1"/>
      <c r="I2139" s="1"/>
      <c r="J2139" s="1"/>
      <c r="K2139" s="1"/>
    </row>
    <row r="2140" spans="1:11" ht="15">
      <c r="A2140" s="1"/>
      <c r="B2140" s="1"/>
      <c r="C2140" s="1"/>
      <c r="D2140" s="1"/>
      <c r="E2140" s="1"/>
      <c r="F2140" s="1"/>
      <c r="G2140" s="1"/>
      <c r="H2140" s="1"/>
      <c r="I2140" s="1"/>
      <c r="J2140" s="1"/>
      <c r="K2140" s="1"/>
    </row>
    <row r="2141" spans="1:11" ht="15">
      <c r="A2141" s="1"/>
      <c r="B2141" s="1"/>
      <c r="C2141" s="1"/>
      <c r="D2141" s="1"/>
      <c r="E2141" s="1"/>
      <c r="F2141" s="1"/>
      <c r="G2141" s="1"/>
      <c r="H2141" s="1"/>
      <c r="I2141" s="1"/>
      <c r="J2141" s="1"/>
      <c r="K2141" s="1"/>
    </row>
    <row r="2142" spans="1:11" ht="15">
      <c r="A2142" s="1"/>
      <c r="B2142" s="1"/>
      <c r="C2142" s="1"/>
      <c r="D2142" s="1"/>
      <c r="E2142" s="1"/>
      <c r="F2142" s="1"/>
      <c r="G2142" s="1"/>
      <c r="H2142" s="1"/>
      <c r="I2142" s="1"/>
      <c r="J2142" s="1"/>
      <c r="K2142" s="1"/>
    </row>
    <row r="2143" spans="1:11" ht="15">
      <c r="A2143" s="1"/>
      <c r="B2143" s="1"/>
      <c r="C2143" s="1"/>
      <c r="D2143" s="1"/>
      <c r="E2143" s="1"/>
      <c r="F2143" s="1"/>
      <c r="G2143" s="1"/>
      <c r="H2143" s="1"/>
      <c r="I2143" s="1"/>
      <c r="J2143" s="1"/>
      <c r="K2143" s="1"/>
    </row>
    <row r="2144" spans="1:11" ht="15">
      <c r="A2144" s="1"/>
      <c r="B2144" s="1"/>
      <c r="C2144" s="1"/>
      <c r="D2144" s="1"/>
      <c r="E2144" s="1"/>
      <c r="F2144" s="1"/>
      <c r="G2144" s="1"/>
      <c r="H2144" s="1"/>
      <c r="I2144" s="1"/>
      <c r="J2144" s="1"/>
      <c r="K2144" s="1"/>
    </row>
    <row r="2145" spans="1:11" ht="15">
      <c r="A2145" s="1"/>
      <c r="B2145" s="1"/>
      <c r="C2145" s="1"/>
      <c r="D2145" s="1"/>
      <c r="E2145" s="1"/>
      <c r="F2145" s="1"/>
      <c r="G2145" s="1"/>
      <c r="H2145" s="1"/>
      <c r="I2145" s="1"/>
      <c r="J2145" s="1"/>
      <c r="K2145" s="1"/>
    </row>
    <row r="2146" spans="1:11" ht="15">
      <c r="A2146" s="1"/>
      <c r="B2146" s="1"/>
      <c r="C2146" s="1"/>
      <c r="D2146" s="1"/>
      <c r="E2146" s="1"/>
      <c r="F2146" s="1"/>
      <c r="G2146" s="1"/>
      <c r="H2146" s="1"/>
      <c r="I2146" s="1"/>
      <c r="J2146" s="1"/>
      <c r="K2146" s="1"/>
    </row>
    <row r="2147" spans="1:11" ht="15">
      <c r="A2147" s="1"/>
      <c r="B2147" s="1"/>
      <c r="C2147" s="1"/>
      <c r="D2147" s="1"/>
      <c r="E2147" s="1"/>
      <c r="F2147" s="1"/>
      <c r="G2147" s="1"/>
      <c r="H2147" s="1"/>
      <c r="I2147" s="1"/>
      <c r="J2147" s="1"/>
      <c r="K2147" s="1"/>
    </row>
    <row r="2148" spans="1:11" ht="15">
      <c r="A2148" s="1"/>
      <c r="B2148" s="1"/>
      <c r="C2148" s="1"/>
      <c r="D2148" s="1"/>
      <c r="E2148" s="1"/>
      <c r="F2148" s="1"/>
      <c r="G2148" s="1"/>
      <c r="H2148" s="1"/>
      <c r="I2148" s="1"/>
      <c r="J2148" s="1"/>
      <c r="K2148" s="1"/>
    </row>
    <row r="2149" spans="1:11" ht="15">
      <c r="A2149" s="1"/>
      <c r="B2149" s="1"/>
      <c r="C2149" s="1"/>
      <c r="D2149" s="1"/>
      <c r="E2149" s="1"/>
      <c r="F2149" s="1"/>
      <c r="G2149" s="1"/>
      <c r="H2149" s="1"/>
      <c r="I2149" s="1"/>
      <c r="J2149" s="1"/>
      <c r="K2149" s="1"/>
    </row>
    <row r="2150" spans="1:11" ht="15">
      <c r="A2150" s="1"/>
      <c r="B2150" s="1"/>
      <c r="C2150" s="1"/>
      <c r="D2150" s="1"/>
      <c r="E2150" s="1"/>
      <c r="F2150" s="1"/>
      <c r="G2150" s="1"/>
      <c r="H2150" s="1"/>
      <c r="I2150" s="1"/>
      <c r="J2150" s="1"/>
      <c r="K2150" s="1"/>
    </row>
    <row r="2151" spans="1:11" ht="15">
      <c r="A2151" s="1"/>
      <c r="B2151" s="1"/>
      <c r="C2151" s="1"/>
      <c r="D2151" s="1"/>
      <c r="E2151" s="1"/>
      <c r="F2151" s="1"/>
      <c r="G2151" s="1"/>
      <c r="H2151" s="1"/>
      <c r="I2151" s="1"/>
      <c r="J2151" s="1"/>
      <c r="K2151" s="1"/>
    </row>
    <row r="2152" spans="1:11" ht="15">
      <c r="A2152" s="1"/>
      <c r="B2152" s="1"/>
      <c r="C2152" s="1"/>
      <c r="D2152" s="1"/>
      <c r="E2152" s="1"/>
      <c r="F2152" s="1"/>
      <c r="G2152" s="1"/>
      <c r="H2152" s="1"/>
      <c r="I2152" s="1"/>
      <c r="J2152" s="1"/>
      <c r="K2152" s="1"/>
    </row>
    <row r="2153" spans="1:11" ht="15">
      <c r="A2153" s="1"/>
      <c r="B2153" s="1"/>
      <c r="C2153" s="1"/>
      <c r="D2153" s="1"/>
      <c r="E2153" s="1"/>
      <c r="F2153" s="1"/>
      <c r="G2153" s="1"/>
      <c r="H2153" s="1"/>
      <c r="I2153" s="1"/>
      <c r="J2153" s="1"/>
      <c r="K2153" s="1"/>
    </row>
    <row r="2154" spans="1:11" ht="15">
      <c r="A2154" s="1"/>
      <c r="B2154" s="1"/>
      <c r="C2154" s="1"/>
      <c r="D2154" s="1"/>
      <c r="E2154" s="1"/>
      <c r="F2154" s="1"/>
      <c r="G2154" s="1"/>
      <c r="H2154" s="1"/>
      <c r="I2154" s="1"/>
      <c r="J2154" s="1"/>
      <c r="K2154" s="1"/>
    </row>
    <row r="2155" spans="1:11" ht="15">
      <c r="A2155" s="1"/>
      <c r="B2155" s="1"/>
      <c r="C2155" s="1"/>
      <c r="D2155" s="1"/>
      <c r="E2155" s="1"/>
      <c r="F2155" s="1"/>
      <c r="G2155" s="1"/>
      <c r="H2155" s="1"/>
      <c r="I2155" s="1"/>
      <c r="J2155" s="1"/>
      <c r="K2155" s="1"/>
    </row>
    <row r="2156" spans="1:11" ht="15">
      <c r="A2156" s="1"/>
      <c r="B2156" s="1"/>
      <c r="C2156" s="1"/>
      <c r="D2156" s="1"/>
      <c r="E2156" s="1"/>
      <c r="F2156" s="1"/>
      <c r="G2156" s="1"/>
      <c r="H2156" s="1"/>
      <c r="I2156" s="1"/>
      <c r="J2156" s="1"/>
      <c r="K2156" s="1"/>
    </row>
    <row r="2157" spans="1:11" ht="15">
      <c r="A2157" s="1"/>
      <c r="B2157" s="1"/>
      <c r="C2157" s="1"/>
      <c r="D2157" s="1"/>
      <c r="E2157" s="1"/>
      <c r="F2157" s="1"/>
      <c r="G2157" s="1"/>
      <c r="H2157" s="1"/>
      <c r="I2157" s="1"/>
      <c r="J2157" s="1"/>
      <c r="K2157" s="1"/>
    </row>
    <row r="2158" spans="1:11" ht="15">
      <c r="A2158" s="1"/>
      <c r="B2158" s="1"/>
      <c r="C2158" s="1"/>
      <c r="D2158" s="1"/>
      <c r="E2158" s="1"/>
      <c r="F2158" s="1"/>
      <c r="G2158" s="1"/>
      <c r="H2158" s="1"/>
      <c r="I2158" s="1"/>
      <c r="J2158" s="1"/>
      <c r="K2158" s="1"/>
    </row>
    <row r="2159" spans="1:11" ht="15">
      <c r="A2159" s="1"/>
      <c r="B2159" s="1"/>
      <c r="C2159" s="1"/>
      <c r="D2159" s="1"/>
      <c r="E2159" s="1"/>
      <c r="F2159" s="1"/>
      <c r="G2159" s="1"/>
      <c r="H2159" s="1"/>
      <c r="I2159" s="1"/>
      <c r="J2159" s="1"/>
      <c r="K2159" s="1"/>
    </row>
    <row r="2160" spans="1:11" ht="15">
      <c r="A2160" s="1"/>
      <c r="B2160" s="1"/>
      <c r="C2160" s="1"/>
      <c r="D2160" s="1"/>
      <c r="E2160" s="1"/>
      <c r="F2160" s="1"/>
      <c r="G2160" s="1"/>
      <c r="H2160" s="1"/>
      <c r="I2160" s="1"/>
      <c r="J2160" s="1"/>
      <c r="K2160" s="1"/>
    </row>
    <row r="2161" spans="1:11" ht="15">
      <c r="A2161" s="1"/>
      <c r="B2161" s="1"/>
      <c r="C2161" s="1"/>
      <c r="D2161" s="1"/>
      <c r="E2161" s="1"/>
      <c r="F2161" s="1"/>
      <c r="G2161" s="1"/>
      <c r="H2161" s="1"/>
      <c r="I2161" s="1"/>
      <c r="J2161" s="1"/>
      <c r="K2161" s="1"/>
    </row>
    <row r="2162" spans="1:11" ht="15">
      <c r="A2162" s="1"/>
      <c r="B2162" s="1"/>
      <c r="C2162" s="1"/>
      <c r="D2162" s="1"/>
      <c r="E2162" s="1"/>
      <c r="F2162" s="1"/>
      <c r="G2162" s="1"/>
      <c r="H2162" s="1"/>
      <c r="I2162" s="1"/>
      <c r="J2162" s="1"/>
      <c r="K2162" s="1"/>
    </row>
    <row r="2163" spans="1:11" ht="15">
      <c r="A2163" s="1"/>
      <c r="B2163" s="1"/>
      <c r="C2163" s="1"/>
      <c r="D2163" s="1"/>
      <c r="E2163" s="1"/>
      <c r="F2163" s="1"/>
      <c r="G2163" s="1"/>
      <c r="H2163" s="1"/>
      <c r="I2163" s="1"/>
      <c r="J2163" s="1"/>
      <c r="K2163" s="1"/>
    </row>
    <row r="2164" spans="1:11" ht="15">
      <c r="A2164" s="1"/>
      <c r="B2164" s="1"/>
      <c r="C2164" s="1"/>
      <c r="D2164" s="1"/>
      <c r="E2164" s="1"/>
      <c r="F2164" s="1"/>
      <c r="G2164" s="1"/>
      <c r="H2164" s="1"/>
      <c r="I2164" s="1"/>
      <c r="J2164" s="1"/>
      <c r="K2164" s="1"/>
    </row>
    <row r="2165" spans="1:11" ht="15">
      <c r="A2165" s="1"/>
      <c r="B2165" s="1"/>
      <c r="C2165" s="1"/>
      <c r="D2165" s="1"/>
      <c r="E2165" s="1"/>
      <c r="F2165" s="1"/>
      <c r="G2165" s="1"/>
      <c r="H2165" s="1"/>
      <c r="I2165" s="1"/>
      <c r="J2165" s="1"/>
      <c r="K2165" s="1"/>
    </row>
    <row r="2166" spans="1:11" ht="15">
      <c r="A2166" s="1"/>
      <c r="B2166" s="1"/>
      <c r="C2166" s="1"/>
      <c r="D2166" s="1"/>
      <c r="E2166" s="1"/>
      <c r="F2166" s="1"/>
      <c r="G2166" s="1"/>
      <c r="H2166" s="1"/>
      <c r="I2166" s="1"/>
      <c r="J2166" s="1"/>
      <c r="K2166" s="1"/>
    </row>
    <row r="2167" spans="1:11" ht="15">
      <c r="A2167" s="1"/>
      <c r="B2167" s="1"/>
      <c r="C2167" s="1"/>
      <c r="D2167" s="1"/>
      <c r="E2167" s="1"/>
      <c r="F2167" s="1"/>
      <c r="G2167" s="1"/>
      <c r="H2167" s="1"/>
      <c r="I2167" s="1"/>
      <c r="J2167" s="1"/>
      <c r="K2167" s="1"/>
    </row>
    <row r="2168" spans="1:11" ht="15">
      <c r="A2168" s="1"/>
      <c r="B2168" s="1"/>
      <c r="C2168" s="1"/>
      <c r="D2168" s="1"/>
      <c r="E2168" s="1"/>
      <c r="F2168" s="1"/>
      <c r="G2168" s="1"/>
      <c r="H2168" s="1"/>
      <c r="I2168" s="1"/>
      <c r="J2168" s="1"/>
      <c r="K2168" s="1"/>
    </row>
    <row r="2169" spans="1:11" ht="15">
      <c r="A2169" s="1"/>
      <c r="B2169" s="1"/>
      <c r="C2169" s="1"/>
      <c r="D2169" s="1"/>
      <c r="E2169" s="1"/>
      <c r="F2169" s="1"/>
      <c r="G2169" s="1"/>
      <c r="H2169" s="1"/>
      <c r="I2169" s="1"/>
      <c r="J2169" s="1"/>
      <c r="K2169" s="1"/>
    </row>
    <row r="2170" spans="1:11" ht="15">
      <c r="A2170" s="1"/>
      <c r="B2170" s="1"/>
      <c r="C2170" s="1"/>
      <c r="D2170" s="1"/>
      <c r="E2170" s="1"/>
      <c r="F2170" s="1"/>
      <c r="G2170" s="1"/>
      <c r="H2170" s="1"/>
      <c r="I2170" s="1"/>
      <c r="J2170" s="1"/>
      <c r="K2170" s="1"/>
    </row>
    <row r="2171" spans="1:11" ht="15">
      <c r="A2171" s="1"/>
      <c r="B2171" s="1"/>
      <c r="C2171" s="1"/>
      <c r="D2171" s="1"/>
      <c r="E2171" s="1"/>
      <c r="F2171" s="1"/>
      <c r="G2171" s="1"/>
      <c r="H2171" s="1"/>
      <c r="I2171" s="1"/>
      <c r="J2171" s="1"/>
      <c r="K2171" s="1"/>
    </row>
    <row r="2172" spans="1:11" ht="15">
      <c r="A2172" s="1"/>
      <c r="B2172" s="1"/>
      <c r="C2172" s="1"/>
      <c r="D2172" s="1"/>
      <c r="E2172" s="1"/>
      <c r="F2172" s="1"/>
      <c r="G2172" s="1"/>
      <c r="H2172" s="1"/>
      <c r="I2172" s="1"/>
      <c r="J2172" s="1"/>
      <c r="K2172" s="1"/>
    </row>
    <row r="2173" spans="1:11" ht="15">
      <c r="A2173" s="1"/>
      <c r="B2173" s="1"/>
      <c r="C2173" s="1"/>
      <c r="D2173" s="1"/>
      <c r="E2173" s="1"/>
      <c r="F2173" s="1"/>
      <c r="G2173" s="1"/>
      <c r="H2173" s="1"/>
      <c r="I2173" s="1"/>
      <c r="J2173" s="1"/>
      <c r="K2173" s="1"/>
    </row>
    <row r="2174" spans="1:11" ht="15">
      <c r="A2174" s="1"/>
      <c r="B2174" s="1"/>
      <c r="C2174" s="1"/>
      <c r="D2174" s="1"/>
      <c r="E2174" s="1"/>
      <c r="F2174" s="1"/>
      <c r="G2174" s="1"/>
      <c r="H2174" s="1"/>
      <c r="I2174" s="1"/>
      <c r="J2174" s="1"/>
      <c r="K2174" s="1"/>
    </row>
    <row r="2175" spans="1:11" ht="15">
      <c r="A2175" s="1"/>
      <c r="B2175" s="1"/>
      <c r="C2175" s="1"/>
      <c r="D2175" s="1"/>
      <c r="E2175" s="1"/>
      <c r="F2175" s="1"/>
      <c r="G2175" s="1"/>
      <c r="H2175" s="1"/>
      <c r="I2175" s="1"/>
      <c r="J2175" s="1"/>
      <c r="K2175" s="1"/>
    </row>
    <row r="2176" spans="1:11" ht="15">
      <c r="A2176" s="1"/>
      <c r="B2176" s="1"/>
      <c r="C2176" s="1"/>
      <c r="D2176" s="1"/>
      <c r="E2176" s="1"/>
      <c r="F2176" s="1"/>
      <c r="G2176" s="1"/>
      <c r="H2176" s="1"/>
      <c r="I2176" s="1"/>
      <c r="J2176" s="1"/>
      <c r="K2176" s="1"/>
    </row>
    <row r="2177" spans="1:11" ht="15">
      <c r="A2177" s="1"/>
      <c r="B2177" s="1"/>
      <c r="C2177" s="1"/>
      <c r="D2177" s="1"/>
      <c r="E2177" s="1"/>
      <c r="F2177" s="1"/>
      <c r="G2177" s="1"/>
      <c r="H2177" s="1"/>
      <c r="I2177" s="1"/>
      <c r="J2177" s="1"/>
      <c r="K2177" s="1"/>
    </row>
    <row r="2178" spans="1:11" ht="15">
      <c r="A2178" s="1"/>
      <c r="B2178" s="1"/>
      <c r="C2178" s="1"/>
      <c r="D2178" s="1"/>
      <c r="E2178" s="1"/>
      <c r="F2178" s="1"/>
      <c r="G2178" s="1"/>
      <c r="H2178" s="1"/>
      <c r="I2178" s="1"/>
      <c r="J2178" s="1"/>
      <c r="K2178" s="1"/>
    </row>
    <row r="2179" spans="1:11" ht="15">
      <c r="A2179" s="1"/>
      <c r="B2179" s="1"/>
      <c r="C2179" s="1"/>
      <c r="D2179" s="1"/>
      <c r="E2179" s="1"/>
      <c r="F2179" s="1"/>
      <c r="G2179" s="1"/>
      <c r="H2179" s="1"/>
      <c r="I2179" s="1"/>
      <c r="J2179" s="1"/>
      <c r="K2179" s="1"/>
    </row>
    <row r="2180" spans="1:11" ht="15">
      <c r="A2180" s="1"/>
      <c r="B2180" s="1"/>
      <c r="C2180" s="1"/>
      <c r="D2180" s="1"/>
      <c r="E2180" s="1"/>
      <c r="F2180" s="1"/>
      <c r="G2180" s="1"/>
      <c r="H2180" s="1"/>
      <c r="I2180" s="1"/>
      <c r="J2180" s="1"/>
      <c r="K2180" s="1"/>
    </row>
    <row r="2181" spans="1:11" ht="15">
      <c r="A2181" s="1"/>
      <c r="B2181" s="1"/>
      <c r="C2181" s="1"/>
      <c r="D2181" s="1"/>
      <c r="E2181" s="1"/>
      <c r="F2181" s="1"/>
      <c r="G2181" s="1"/>
      <c r="H2181" s="1"/>
      <c r="I2181" s="1"/>
      <c r="J2181" s="1"/>
      <c r="K2181" s="1"/>
    </row>
    <row r="2182" spans="1:11" ht="15">
      <c r="A2182" s="1"/>
      <c r="B2182" s="1"/>
      <c r="C2182" s="1"/>
      <c r="D2182" s="1"/>
      <c r="E2182" s="1"/>
      <c r="F2182" s="1"/>
      <c r="G2182" s="1"/>
      <c r="H2182" s="1"/>
      <c r="I2182" s="1"/>
      <c r="J2182" s="1"/>
      <c r="K2182" s="1"/>
    </row>
    <row r="2183" spans="1:11" ht="15">
      <c r="A2183" s="1"/>
      <c r="B2183" s="1"/>
      <c r="C2183" s="1"/>
      <c r="D2183" s="1"/>
      <c r="E2183" s="1"/>
      <c r="F2183" s="1"/>
      <c r="G2183" s="1"/>
      <c r="H2183" s="1"/>
      <c r="I2183" s="1"/>
      <c r="J2183" s="1"/>
      <c r="K2183" s="1"/>
    </row>
    <row r="2184" spans="1:11" ht="15">
      <c r="A2184" s="1"/>
      <c r="B2184" s="1"/>
      <c r="C2184" s="1"/>
      <c r="D2184" s="1"/>
      <c r="E2184" s="1"/>
      <c r="F2184" s="1"/>
      <c r="G2184" s="1"/>
      <c r="H2184" s="1"/>
      <c r="I2184" s="1"/>
      <c r="J2184" s="1"/>
      <c r="K2184" s="1"/>
    </row>
    <row r="2185" spans="1:11" ht="15">
      <c r="A2185" s="1"/>
      <c r="B2185" s="1"/>
      <c r="C2185" s="1"/>
      <c r="D2185" s="1"/>
      <c r="E2185" s="1"/>
      <c r="F2185" s="1"/>
      <c r="G2185" s="1"/>
      <c r="H2185" s="1"/>
      <c r="I2185" s="1"/>
      <c r="J2185" s="1"/>
      <c r="K2185" s="1"/>
    </row>
    <row r="2186" spans="1:11" ht="15">
      <c r="A2186" s="1"/>
      <c r="B2186" s="1"/>
      <c r="C2186" s="1"/>
      <c r="D2186" s="1"/>
      <c r="E2186" s="1"/>
      <c r="F2186" s="1"/>
      <c r="G2186" s="1"/>
      <c r="H2186" s="1"/>
      <c r="I2186" s="1"/>
      <c r="J2186" s="1"/>
      <c r="K2186" s="1"/>
    </row>
    <row r="2187" spans="1:11" ht="15">
      <c r="A2187" s="1"/>
      <c r="B2187" s="1"/>
      <c r="C2187" s="1"/>
      <c r="D2187" s="1"/>
      <c r="E2187" s="1"/>
      <c r="F2187" s="1"/>
      <c r="G2187" s="1"/>
      <c r="H2187" s="1"/>
      <c r="I2187" s="1"/>
      <c r="J2187" s="1"/>
      <c r="K2187" s="1"/>
    </row>
    <row r="2188" spans="1:11" ht="15">
      <c r="A2188" s="1"/>
      <c r="B2188" s="1"/>
      <c r="C2188" s="1"/>
      <c r="D2188" s="1"/>
      <c r="E2188" s="1"/>
      <c r="F2188" s="1"/>
      <c r="G2188" s="1"/>
      <c r="H2188" s="1"/>
      <c r="I2188" s="1"/>
      <c r="J2188" s="1"/>
      <c r="K2188" s="1"/>
    </row>
    <row r="2189" spans="1:11" ht="15">
      <c r="A2189" s="1"/>
      <c r="B2189" s="1"/>
      <c r="C2189" s="1"/>
      <c r="D2189" s="1"/>
      <c r="E2189" s="1"/>
      <c r="F2189" s="1"/>
      <c r="G2189" s="1"/>
      <c r="H2189" s="1"/>
      <c r="I2189" s="1"/>
      <c r="J2189" s="1"/>
      <c r="K2189" s="1"/>
    </row>
    <row r="2190" spans="1:11" ht="15">
      <c r="A2190" s="1"/>
      <c r="B2190" s="1"/>
      <c r="C2190" s="1"/>
      <c r="D2190" s="1"/>
      <c r="E2190" s="1"/>
      <c r="F2190" s="1"/>
      <c r="G2190" s="1"/>
      <c r="H2190" s="1"/>
      <c r="I2190" s="1"/>
      <c r="J2190" s="1"/>
      <c r="K2190" s="1"/>
    </row>
    <row r="2191" spans="1:11" ht="15">
      <c r="A2191" s="1"/>
      <c r="B2191" s="1"/>
      <c r="C2191" s="1"/>
      <c r="D2191" s="1"/>
      <c r="E2191" s="1"/>
      <c r="F2191" s="1"/>
      <c r="G2191" s="1"/>
      <c r="H2191" s="1"/>
      <c r="I2191" s="1"/>
      <c r="J2191" s="1"/>
      <c r="K2191" s="1"/>
    </row>
    <row r="2192" spans="1:11" ht="15">
      <c r="A2192" s="1"/>
      <c r="B2192" s="1"/>
      <c r="C2192" s="1"/>
      <c r="D2192" s="1"/>
      <c r="E2192" s="1"/>
      <c r="F2192" s="1"/>
      <c r="G2192" s="1"/>
      <c r="H2192" s="1"/>
      <c r="I2192" s="1"/>
      <c r="J2192" s="1"/>
      <c r="K2192" s="1"/>
    </row>
    <row r="2193" spans="1:11" ht="15">
      <c r="A2193" s="1"/>
      <c r="B2193" s="1"/>
      <c r="C2193" s="1"/>
      <c r="D2193" s="1"/>
      <c r="E2193" s="1"/>
      <c r="F2193" s="1"/>
      <c r="G2193" s="1"/>
      <c r="H2193" s="1"/>
      <c r="I2193" s="1"/>
      <c r="J2193" s="1"/>
      <c r="K2193" s="1"/>
    </row>
    <row r="2194" spans="1:11" ht="15">
      <c r="A2194" s="1"/>
      <c r="B2194" s="1"/>
      <c r="C2194" s="1"/>
      <c r="D2194" s="1"/>
      <c r="E2194" s="1"/>
      <c r="F2194" s="1"/>
      <c r="G2194" s="1"/>
      <c r="H2194" s="1"/>
      <c r="I2194" s="1"/>
      <c r="J2194" s="1"/>
      <c r="K2194" s="1"/>
    </row>
    <row r="2195" spans="1:11" ht="15">
      <c r="A2195" s="1"/>
      <c r="B2195" s="1"/>
      <c r="C2195" s="1"/>
      <c r="D2195" s="1"/>
      <c r="E2195" s="1"/>
      <c r="F2195" s="1"/>
      <c r="G2195" s="1"/>
      <c r="H2195" s="1"/>
      <c r="I2195" s="1"/>
      <c r="J2195" s="1"/>
      <c r="K2195" s="1"/>
    </row>
    <row r="2196" spans="1:11" ht="15">
      <c r="A2196" s="1"/>
      <c r="B2196" s="1"/>
      <c r="C2196" s="1"/>
      <c r="D2196" s="1"/>
      <c r="E2196" s="1"/>
      <c r="F2196" s="1"/>
      <c r="G2196" s="1"/>
      <c r="H2196" s="1"/>
      <c r="I2196" s="1"/>
      <c r="J2196" s="1"/>
      <c r="K2196" s="1"/>
    </row>
    <row r="2197" spans="1:11" ht="15">
      <c r="A2197" s="1"/>
      <c r="B2197" s="1"/>
      <c r="C2197" s="1"/>
      <c r="D2197" s="1"/>
      <c r="E2197" s="1"/>
      <c r="F2197" s="1"/>
      <c r="G2197" s="1"/>
      <c r="H2197" s="1"/>
      <c r="I2197" s="1"/>
      <c r="J2197" s="1"/>
      <c r="K2197" s="1"/>
    </row>
    <row r="2198" spans="1:11" ht="15">
      <c r="A2198" s="1"/>
      <c r="B2198" s="1"/>
      <c r="C2198" s="1"/>
      <c r="D2198" s="1"/>
      <c r="E2198" s="1"/>
      <c r="F2198" s="1"/>
      <c r="G2198" s="1"/>
      <c r="H2198" s="1"/>
      <c r="I2198" s="1"/>
      <c r="J2198" s="1"/>
      <c r="K2198" s="1"/>
    </row>
    <row r="2199" spans="1:11" ht="15">
      <c r="A2199" s="1"/>
      <c r="B2199" s="1"/>
      <c r="C2199" s="1"/>
      <c r="D2199" s="1"/>
      <c r="E2199" s="1"/>
      <c r="F2199" s="1"/>
      <c r="G2199" s="1"/>
      <c r="H2199" s="1"/>
      <c r="I2199" s="1"/>
      <c r="J2199" s="1"/>
      <c r="K2199" s="1"/>
    </row>
    <row r="2200" spans="1:11" ht="15">
      <c r="A2200" s="1"/>
      <c r="B2200" s="1"/>
      <c r="C2200" s="1"/>
      <c r="D2200" s="1"/>
      <c r="E2200" s="1"/>
      <c r="F2200" s="1"/>
      <c r="G2200" s="1"/>
      <c r="H2200" s="1"/>
      <c r="I2200" s="1"/>
      <c r="J2200" s="1"/>
      <c r="K2200" s="1"/>
    </row>
    <row r="2201" spans="1:11" ht="15">
      <c r="A2201" s="1"/>
      <c r="B2201" s="1"/>
      <c r="C2201" s="1"/>
      <c r="D2201" s="1"/>
      <c r="E2201" s="1"/>
      <c r="F2201" s="1"/>
      <c r="G2201" s="1"/>
      <c r="H2201" s="1"/>
      <c r="I2201" s="1"/>
      <c r="J2201" s="1"/>
      <c r="K2201" s="1"/>
    </row>
    <row r="2202" spans="1:11" ht="15">
      <c r="A2202" s="1"/>
      <c r="B2202" s="1"/>
      <c r="C2202" s="1"/>
      <c r="D2202" s="1"/>
      <c r="E2202" s="1"/>
      <c r="F2202" s="1"/>
      <c r="G2202" s="1"/>
      <c r="H2202" s="1"/>
      <c r="I2202" s="1"/>
      <c r="J2202" s="1"/>
      <c r="K2202" s="1"/>
    </row>
    <row r="2203" spans="1:11" ht="15">
      <c r="A2203" s="1"/>
      <c r="B2203" s="1"/>
      <c r="C2203" s="1"/>
      <c r="D2203" s="1"/>
      <c r="E2203" s="1"/>
      <c r="F2203" s="1"/>
      <c r="G2203" s="1"/>
      <c r="H2203" s="1"/>
      <c r="I2203" s="1"/>
      <c r="J2203" s="1"/>
      <c r="K2203" s="1"/>
    </row>
    <row r="2204" spans="1:11" ht="15">
      <c r="A2204" s="1"/>
      <c r="B2204" s="1"/>
      <c r="C2204" s="1"/>
      <c r="D2204" s="1"/>
      <c r="E2204" s="1"/>
      <c r="F2204" s="1"/>
      <c r="G2204" s="1"/>
      <c r="H2204" s="1"/>
      <c r="I2204" s="1"/>
      <c r="J2204" s="1"/>
      <c r="K2204" s="1"/>
    </row>
    <row r="2205" spans="1:11" ht="15">
      <c r="A2205" s="1"/>
      <c r="B2205" s="1"/>
      <c r="C2205" s="1"/>
      <c r="D2205" s="1"/>
      <c r="E2205" s="1"/>
      <c r="F2205" s="1"/>
      <c r="G2205" s="1"/>
      <c r="H2205" s="1"/>
      <c r="I2205" s="1"/>
      <c r="J2205" s="1"/>
      <c r="K2205" s="1"/>
    </row>
    <row r="2206" spans="1:11" ht="15">
      <c r="A2206" s="1"/>
      <c r="B2206" s="1"/>
      <c r="C2206" s="1"/>
      <c r="D2206" s="1"/>
      <c r="E2206" s="1"/>
      <c r="F2206" s="1"/>
      <c r="G2206" s="1"/>
      <c r="H2206" s="1"/>
      <c r="I2206" s="1"/>
      <c r="J2206" s="1"/>
      <c r="K2206" s="1"/>
    </row>
    <row r="2207" spans="1:11" ht="15">
      <c r="A2207" s="1"/>
      <c r="B2207" s="1"/>
      <c r="C2207" s="1"/>
      <c r="D2207" s="1"/>
      <c r="E2207" s="1"/>
      <c r="F2207" s="1"/>
      <c r="G2207" s="1"/>
      <c r="H2207" s="1"/>
      <c r="I2207" s="1"/>
      <c r="J2207" s="1"/>
      <c r="K2207" s="1"/>
    </row>
    <row r="2208" spans="1:11" ht="15">
      <c r="A2208" s="1"/>
      <c r="B2208" s="1"/>
      <c r="C2208" s="1"/>
      <c r="D2208" s="1"/>
      <c r="E2208" s="1"/>
      <c r="F2208" s="1"/>
      <c r="G2208" s="1"/>
      <c r="H2208" s="1"/>
      <c r="I2208" s="1"/>
      <c r="J2208" s="1"/>
      <c r="K2208" s="1"/>
    </row>
    <row r="2209" spans="1:11" ht="15">
      <c r="A2209" s="1"/>
      <c r="B2209" s="1"/>
      <c r="C2209" s="1"/>
      <c r="D2209" s="1"/>
      <c r="E2209" s="1"/>
      <c r="F2209" s="1"/>
      <c r="G2209" s="1"/>
      <c r="H2209" s="1"/>
      <c r="I2209" s="1"/>
      <c r="J2209" s="1"/>
      <c r="K2209" s="1"/>
    </row>
    <row r="2210" spans="1:11" ht="15">
      <c r="A2210" s="1"/>
      <c r="B2210" s="1"/>
      <c r="C2210" s="1"/>
      <c r="D2210" s="1"/>
      <c r="E2210" s="1"/>
      <c r="F2210" s="1"/>
      <c r="G2210" s="1"/>
      <c r="H2210" s="1"/>
      <c r="I2210" s="1"/>
      <c r="J2210" s="1"/>
      <c r="K2210" s="1"/>
    </row>
    <row r="2211" spans="1:11" ht="15">
      <c r="A2211" s="1"/>
      <c r="B2211" s="1"/>
      <c r="C2211" s="1"/>
      <c r="D2211" s="1"/>
      <c r="E2211" s="1"/>
      <c r="F2211" s="1"/>
      <c r="G2211" s="1"/>
      <c r="H2211" s="1"/>
      <c r="I2211" s="1"/>
      <c r="J2211" s="1"/>
      <c r="K2211" s="1"/>
    </row>
    <row r="2212" spans="1:11" ht="15">
      <c r="A2212" s="1"/>
      <c r="B2212" s="1"/>
      <c r="C2212" s="1"/>
      <c r="D2212" s="1"/>
      <c r="E2212" s="1"/>
      <c r="F2212" s="1"/>
      <c r="G2212" s="1"/>
      <c r="H2212" s="1"/>
      <c r="I2212" s="1"/>
      <c r="J2212" s="1"/>
      <c r="K2212" s="1"/>
    </row>
    <row r="2213" spans="1:11" ht="15">
      <c r="A2213" s="1"/>
      <c r="B2213" s="1"/>
      <c r="C2213" s="1"/>
      <c r="D2213" s="1"/>
      <c r="E2213" s="1"/>
      <c r="F2213" s="1"/>
      <c r="G2213" s="1"/>
      <c r="H2213" s="1"/>
      <c r="I2213" s="1"/>
      <c r="J2213" s="1"/>
      <c r="K2213" s="1"/>
    </row>
    <row r="2214" spans="1:11" ht="15">
      <c r="A2214" s="1"/>
      <c r="B2214" s="1"/>
      <c r="C2214" s="1"/>
      <c r="D2214" s="1"/>
      <c r="E2214" s="1"/>
      <c r="F2214" s="1"/>
      <c r="G2214" s="1"/>
      <c r="H2214" s="1"/>
      <c r="I2214" s="1"/>
      <c r="J2214" s="1"/>
      <c r="K2214" s="1"/>
    </row>
    <row r="2215" spans="1:11" ht="15">
      <c r="A2215" s="1"/>
      <c r="B2215" s="1"/>
      <c r="C2215" s="1"/>
      <c r="D2215" s="1"/>
      <c r="E2215" s="1"/>
      <c r="F2215" s="1"/>
      <c r="G2215" s="1"/>
      <c r="H2215" s="1"/>
      <c r="I2215" s="1"/>
      <c r="J2215" s="1"/>
      <c r="K2215" s="1"/>
    </row>
    <row r="2216" spans="1:11" ht="15">
      <c r="A2216" s="1"/>
      <c r="B2216" s="1"/>
      <c r="C2216" s="1"/>
      <c r="D2216" s="1"/>
      <c r="E2216" s="1"/>
      <c r="F2216" s="1"/>
      <c r="G2216" s="1"/>
      <c r="H2216" s="1"/>
      <c r="I2216" s="1"/>
      <c r="J2216" s="1"/>
      <c r="K2216" s="1"/>
    </row>
    <row r="2217" spans="1:11" ht="15">
      <c r="A2217" s="1"/>
      <c r="B2217" s="1"/>
      <c r="C2217" s="1"/>
      <c r="D2217" s="1"/>
      <c r="E2217" s="1"/>
      <c r="F2217" s="1"/>
      <c r="G2217" s="1"/>
      <c r="H2217" s="1"/>
      <c r="I2217" s="1"/>
      <c r="J2217" s="1"/>
      <c r="K2217" s="1"/>
    </row>
    <row r="2218" spans="1:11" ht="15">
      <c r="A2218" s="1"/>
      <c r="B2218" s="1"/>
      <c r="C2218" s="1"/>
      <c r="D2218" s="1"/>
      <c r="E2218" s="1"/>
      <c r="F2218" s="1"/>
      <c r="G2218" s="1"/>
      <c r="H2218" s="1"/>
      <c r="I2218" s="1"/>
      <c r="J2218" s="1"/>
      <c r="K2218" s="1"/>
    </row>
    <row r="2219" spans="1:11" ht="15">
      <c r="A2219" s="1"/>
      <c r="B2219" s="1"/>
      <c r="C2219" s="1"/>
      <c r="D2219" s="1"/>
      <c r="E2219" s="1"/>
      <c r="F2219" s="1"/>
      <c r="G2219" s="1"/>
      <c r="H2219" s="1"/>
      <c r="I2219" s="1"/>
      <c r="J2219" s="1"/>
      <c r="K2219" s="1"/>
    </row>
    <row r="2220" spans="1:11" ht="15">
      <c r="A2220" s="1"/>
      <c r="B2220" s="1"/>
      <c r="C2220" s="1"/>
      <c r="D2220" s="1"/>
      <c r="E2220" s="1"/>
      <c r="F2220" s="1"/>
      <c r="G2220" s="1"/>
      <c r="H2220" s="1"/>
      <c r="I2220" s="1"/>
      <c r="J2220" s="1"/>
      <c r="K2220" s="1"/>
    </row>
    <row r="2221" spans="1:11" ht="15">
      <c r="A2221" s="1"/>
      <c r="B2221" s="1"/>
      <c r="C2221" s="1"/>
      <c r="D2221" s="1"/>
      <c r="E2221" s="1"/>
      <c r="F2221" s="1"/>
      <c r="G2221" s="1"/>
      <c r="H2221" s="1"/>
      <c r="I2221" s="1"/>
      <c r="J2221" s="1"/>
      <c r="K2221" s="1"/>
    </row>
    <row r="2222" spans="1:11" ht="15">
      <c r="A2222" s="1"/>
      <c r="B2222" s="1"/>
      <c r="C2222" s="1"/>
      <c r="D2222" s="1"/>
      <c r="E2222" s="1"/>
      <c r="F2222" s="1"/>
      <c r="G2222" s="1"/>
      <c r="H2222" s="1"/>
      <c r="I2222" s="1"/>
      <c r="J2222" s="1"/>
      <c r="K2222" s="1"/>
    </row>
    <row r="2223" spans="1:11" ht="15">
      <c r="A2223" s="1"/>
      <c r="B2223" s="1"/>
      <c r="C2223" s="1"/>
      <c r="D2223" s="1"/>
      <c r="E2223" s="1"/>
      <c r="F2223" s="1"/>
      <c r="G2223" s="1"/>
      <c r="H2223" s="1"/>
      <c r="I2223" s="1"/>
      <c r="J2223" s="1"/>
      <c r="K2223" s="1"/>
    </row>
    <row r="2224" spans="1:11" ht="15">
      <c r="A2224" s="1"/>
      <c r="B2224" s="1"/>
      <c r="C2224" s="1"/>
      <c r="D2224" s="1"/>
      <c r="E2224" s="1"/>
      <c r="F2224" s="1"/>
      <c r="G2224" s="1"/>
      <c r="H2224" s="1"/>
      <c r="I2224" s="1"/>
      <c r="J2224" s="1"/>
      <c r="K2224" s="1"/>
    </row>
    <row r="2225" spans="1:11" ht="15">
      <c r="A2225" s="1"/>
      <c r="B2225" s="1"/>
      <c r="C2225" s="1"/>
      <c r="D2225" s="1"/>
      <c r="E2225" s="1"/>
      <c r="F2225" s="1"/>
      <c r="G2225" s="1"/>
      <c r="H2225" s="1"/>
      <c r="I2225" s="1"/>
      <c r="J2225" s="1"/>
      <c r="K2225" s="1"/>
    </row>
    <row r="2226" spans="1:11" ht="15">
      <c r="A2226" s="1"/>
      <c r="B2226" s="1"/>
      <c r="C2226" s="1"/>
      <c r="D2226" s="1"/>
      <c r="E2226" s="1"/>
      <c r="F2226" s="1"/>
      <c r="G2226" s="1"/>
      <c r="H2226" s="1"/>
      <c r="I2226" s="1"/>
      <c r="J2226" s="1"/>
      <c r="K2226" s="1"/>
    </row>
    <row r="2227" spans="1:11" ht="15">
      <c r="A2227" s="1"/>
      <c r="B2227" s="1"/>
      <c r="C2227" s="1"/>
      <c r="D2227" s="1"/>
      <c r="E2227" s="1"/>
      <c r="F2227" s="1"/>
      <c r="G2227" s="1"/>
      <c r="H2227" s="1"/>
      <c r="I2227" s="1"/>
      <c r="J2227" s="1"/>
      <c r="K2227" s="1"/>
    </row>
    <row r="2228" spans="1:11" ht="15">
      <c r="A2228" s="1"/>
      <c r="B2228" s="1"/>
      <c r="C2228" s="1"/>
      <c r="D2228" s="1"/>
      <c r="E2228" s="1"/>
      <c r="F2228" s="1"/>
      <c r="G2228" s="1"/>
      <c r="H2228" s="1"/>
      <c r="I2228" s="1"/>
      <c r="J2228" s="1"/>
      <c r="K2228" s="1"/>
    </row>
    <row r="2229" spans="1:11" ht="15">
      <c r="A2229" s="1"/>
      <c r="B2229" s="1"/>
      <c r="C2229" s="1"/>
      <c r="D2229" s="1"/>
      <c r="E2229" s="1"/>
      <c r="F2229" s="1"/>
      <c r="G2229" s="1"/>
      <c r="H2229" s="1"/>
      <c r="I2229" s="1"/>
      <c r="J2229" s="1"/>
      <c r="K2229" s="1"/>
    </row>
    <row r="2230" spans="1:11" ht="15">
      <c r="A2230" s="1"/>
      <c r="B2230" s="1"/>
      <c r="C2230" s="1"/>
      <c r="D2230" s="1"/>
      <c r="E2230" s="1"/>
      <c r="F2230" s="1"/>
      <c r="G2230" s="1"/>
      <c r="H2230" s="1"/>
      <c r="I2230" s="1"/>
      <c r="J2230" s="1"/>
      <c r="K2230" s="1"/>
    </row>
    <row r="2231" spans="1:11" ht="15">
      <c r="A2231" s="1"/>
      <c r="B2231" s="1"/>
      <c r="C2231" s="1"/>
      <c r="D2231" s="1"/>
      <c r="E2231" s="1"/>
      <c r="F2231" s="1"/>
      <c r="G2231" s="1"/>
      <c r="H2231" s="1"/>
      <c r="I2231" s="1"/>
      <c r="J2231" s="1"/>
      <c r="K2231" s="1"/>
    </row>
    <row r="2232" spans="1:11" ht="15">
      <c r="A2232" s="1"/>
      <c r="B2232" s="1"/>
      <c r="C2232" s="1"/>
      <c r="D2232" s="1"/>
      <c r="E2232" s="1"/>
      <c r="F2232" s="1"/>
      <c r="G2232" s="1"/>
      <c r="H2232" s="1"/>
      <c r="I2232" s="1"/>
      <c r="J2232" s="1"/>
      <c r="K2232" s="1"/>
    </row>
    <row r="2233" spans="1:11" ht="15">
      <c r="A2233" s="1"/>
      <c r="B2233" s="1"/>
      <c r="C2233" s="1"/>
      <c r="D2233" s="1"/>
      <c r="E2233" s="1"/>
      <c r="F2233" s="1"/>
      <c r="G2233" s="1"/>
      <c r="H2233" s="1"/>
      <c r="I2233" s="1"/>
      <c r="J2233" s="1"/>
      <c r="K2233" s="1"/>
    </row>
    <row r="2234" spans="1:11" ht="15">
      <c r="A2234" s="1"/>
      <c r="B2234" s="1"/>
      <c r="C2234" s="1"/>
      <c r="D2234" s="1"/>
      <c r="E2234" s="1"/>
      <c r="F2234" s="1"/>
      <c r="G2234" s="1"/>
      <c r="H2234" s="1"/>
      <c r="I2234" s="1"/>
      <c r="J2234" s="1"/>
      <c r="K2234" s="1"/>
    </row>
    <row r="2235" spans="1:11" ht="15">
      <c r="A2235" s="1"/>
      <c r="B2235" s="1"/>
      <c r="C2235" s="1"/>
      <c r="D2235" s="1"/>
      <c r="E2235" s="1"/>
      <c r="F2235" s="1"/>
      <c r="G2235" s="1"/>
      <c r="H2235" s="1"/>
      <c r="I2235" s="1"/>
      <c r="J2235" s="1"/>
      <c r="K2235" s="1"/>
    </row>
    <row r="2236" spans="1:11" ht="15">
      <c r="A2236" s="1"/>
      <c r="B2236" s="1"/>
      <c r="C2236" s="1"/>
      <c r="D2236" s="1"/>
      <c r="E2236" s="1"/>
      <c r="F2236" s="1"/>
      <c r="G2236" s="1"/>
      <c r="H2236" s="1"/>
      <c r="I2236" s="1"/>
      <c r="J2236" s="1"/>
      <c r="K2236" s="1"/>
    </row>
    <row r="2237" spans="1:11" ht="15">
      <c r="A2237" s="1"/>
      <c r="B2237" s="1"/>
      <c r="C2237" s="1"/>
      <c r="D2237" s="1"/>
      <c r="E2237" s="1"/>
      <c r="F2237" s="1"/>
      <c r="G2237" s="1"/>
      <c r="H2237" s="1"/>
      <c r="I2237" s="1"/>
      <c r="J2237" s="1"/>
      <c r="K2237" s="1"/>
    </row>
    <row r="2238" spans="1:11" ht="15">
      <c r="A2238" s="1"/>
      <c r="B2238" s="1"/>
      <c r="C2238" s="1"/>
      <c r="D2238" s="1"/>
      <c r="E2238" s="1"/>
      <c r="F2238" s="1"/>
      <c r="G2238" s="1"/>
      <c r="H2238" s="1"/>
      <c r="I2238" s="1"/>
      <c r="J2238" s="1"/>
      <c r="K2238" s="1"/>
    </row>
    <row r="2239" spans="1:11" ht="15">
      <c r="A2239" s="1"/>
      <c r="B2239" s="1"/>
      <c r="C2239" s="1"/>
      <c r="D2239" s="1"/>
      <c r="E2239" s="1"/>
      <c r="F2239" s="1"/>
      <c r="G2239" s="1"/>
      <c r="H2239" s="1"/>
      <c r="I2239" s="1"/>
      <c r="J2239" s="1"/>
      <c r="K2239" s="1"/>
    </row>
    <row r="2240" spans="1:11" ht="15">
      <c r="A2240" s="1"/>
      <c r="B2240" s="1"/>
      <c r="C2240" s="1"/>
      <c r="D2240" s="1"/>
      <c r="E2240" s="1"/>
      <c r="F2240" s="1"/>
      <c r="G2240" s="1"/>
      <c r="H2240" s="1"/>
      <c r="I2240" s="1"/>
      <c r="J2240" s="1"/>
      <c r="K2240" s="1"/>
    </row>
    <row r="2241" spans="1:11" ht="15">
      <c r="A2241" s="1"/>
      <c r="B2241" s="1"/>
      <c r="C2241" s="1"/>
      <c r="D2241" s="1"/>
      <c r="E2241" s="1"/>
      <c r="F2241" s="1"/>
      <c r="G2241" s="1"/>
      <c r="H2241" s="1"/>
      <c r="I2241" s="1"/>
      <c r="J2241" s="1"/>
      <c r="K2241" s="1"/>
    </row>
    <row r="2242" spans="1:11" ht="15">
      <c r="A2242" s="1"/>
      <c r="B2242" s="1"/>
      <c r="C2242" s="1"/>
      <c r="D2242" s="1"/>
      <c r="E2242" s="1"/>
      <c r="F2242" s="1"/>
      <c r="G2242" s="1"/>
      <c r="H2242" s="1"/>
      <c r="I2242" s="1"/>
      <c r="J2242" s="1"/>
      <c r="K2242" s="1"/>
    </row>
    <row r="2243" spans="1:11" ht="15">
      <c r="A2243" s="1"/>
      <c r="B2243" s="1"/>
      <c r="C2243" s="1"/>
      <c r="D2243" s="1"/>
      <c r="E2243" s="1"/>
      <c r="F2243" s="1"/>
      <c r="G2243" s="1"/>
      <c r="H2243" s="1"/>
      <c r="I2243" s="1"/>
      <c r="J2243" s="1"/>
      <c r="K2243" s="1"/>
    </row>
    <row r="2244" spans="1:11" ht="15">
      <c r="A2244" s="1"/>
      <c r="B2244" s="1"/>
      <c r="C2244" s="1"/>
      <c r="D2244" s="1"/>
      <c r="E2244" s="1"/>
      <c r="F2244" s="1"/>
      <c r="G2244" s="1"/>
      <c r="H2244" s="1"/>
      <c r="I2244" s="1"/>
      <c r="J2244" s="1"/>
      <c r="K2244" s="1"/>
    </row>
    <row r="2245" spans="1:11" ht="15">
      <c r="A2245" s="1"/>
      <c r="B2245" s="1"/>
      <c r="C2245" s="1"/>
      <c r="D2245" s="1"/>
      <c r="E2245" s="1"/>
      <c r="F2245" s="1"/>
      <c r="G2245" s="1"/>
      <c r="H2245" s="1"/>
      <c r="I2245" s="1"/>
      <c r="J2245" s="1"/>
      <c r="K2245" s="1"/>
    </row>
    <row r="2246" spans="1:11" ht="15">
      <c r="A2246" s="1"/>
      <c r="B2246" s="1"/>
      <c r="C2246" s="1"/>
      <c r="D2246" s="1"/>
      <c r="E2246" s="1"/>
      <c r="F2246" s="1"/>
      <c r="G2246" s="1"/>
      <c r="H2246" s="1"/>
      <c r="I2246" s="1"/>
      <c r="J2246" s="1"/>
      <c r="K2246" s="1"/>
    </row>
    <row r="2247" spans="1:11" ht="15">
      <c r="A2247" s="1"/>
      <c r="B2247" s="1"/>
      <c r="C2247" s="1"/>
      <c r="D2247" s="1"/>
      <c r="E2247" s="1"/>
      <c r="F2247" s="1"/>
      <c r="G2247" s="1"/>
      <c r="H2247" s="1"/>
      <c r="I2247" s="1"/>
      <c r="J2247" s="1"/>
      <c r="K2247" s="1"/>
    </row>
    <row r="2248" spans="1:11" ht="15">
      <c r="A2248" s="1"/>
      <c r="B2248" s="1"/>
      <c r="C2248" s="1"/>
      <c r="D2248" s="1"/>
      <c r="E2248" s="1"/>
      <c r="F2248" s="1"/>
      <c r="G2248" s="1"/>
      <c r="H2248" s="1"/>
      <c r="I2248" s="1"/>
      <c r="J2248" s="1"/>
      <c r="K2248" s="1"/>
    </row>
    <row r="2249" spans="1:11" ht="15">
      <c r="A2249" s="1"/>
      <c r="B2249" s="1"/>
      <c r="C2249" s="1"/>
      <c r="D2249" s="1"/>
      <c r="E2249" s="1"/>
      <c r="F2249" s="1"/>
      <c r="G2249" s="1"/>
      <c r="H2249" s="1"/>
      <c r="I2249" s="1"/>
      <c r="J2249" s="1"/>
      <c r="K2249" s="1"/>
    </row>
    <row r="2250" spans="1:11" ht="15">
      <c r="A2250" s="1"/>
      <c r="B2250" s="1"/>
      <c r="C2250" s="1"/>
      <c r="D2250" s="1"/>
      <c r="E2250" s="1"/>
      <c r="F2250" s="1"/>
      <c r="G2250" s="1"/>
      <c r="H2250" s="1"/>
      <c r="I2250" s="1"/>
      <c r="J2250" s="1"/>
      <c r="K2250" s="1"/>
    </row>
    <row r="2251" spans="1:11" ht="15">
      <c r="A2251" s="1"/>
      <c r="B2251" s="1"/>
      <c r="C2251" s="1"/>
      <c r="D2251" s="1"/>
      <c r="E2251" s="1"/>
      <c r="F2251" s="1"/>
      <c r="G2251" s="1"/>
      <c r="H2251" s="1"/>
      <c r="I2251" s="1"/>
      <c r="J2251" s="1"/>
      <c r="K2251" s="1"/>
    </row>
    <row r="2252" spans="1:11" ht="15">
      <c r="A2252" s="1"/>
      <c r="B2252" s="1"/>
      <c r="C2252" s="1"/>
      <c r="D2252" s="1"/>
      <c r="E2252" s="1"/>
      <c r="F2252" s="1"/>
      <c r="G2252" s="1"/>
      <c r="H2252" s="1"/>
      <c r="I2252" s="1"/>
      <c r="J2252" s="1"/>
      <c r="K2252" s="1"/>
    </row>
    <row r="2253" spans="1:11" ht="15">
      <c r="A2253" s="1"/>
      <c r="B2253" s="1"/>
      <c r="C2253" s="1"/>
      <c r="D2253" s="1"/>
      <c r="E2253" s="1"/>
      <c r="F2253" s="1"/>
      <c r="G2253" s="1"/>
      <c r="H2253" s="1"/>
      <c r="I2253" s="1"/>
      <c r="J2253" s="1"/>
      <c r="K2253" s="1"/>
    </row>
    <row r="2254" spans="1:11" ht="15">
      <c r="A2254" s="1"/>
      <c r="B2254" s="1"/>
      <c r="C2254" s="1"/>
      <c r="D2254" s="1"/>
      <c r="E2254" s="1"/>
      <c r="F2254" s="1"/>
      <c r="G2254" s="1"/>
      <c r="H2254" s="1"/>
      <c r="I2254" s="1"/>
      <c r="J2254" s="1"/>
      <c r="K2254" s="1"/>
    </row>
    <row r="2255" spans="1:11" ht="15">
      <c r="A2255" s="1"/>
      <c r="B2255" s="1"/>
      <c r="C2255" s="1"/>
      <c r="D2255" s="1"/>
      <c r="E2255" s="1"/>
      <c r="F2255" s="1"/>
      <c r="G2255" s="1"/>
      <c r="H2255" s="1"/>
      <c r="I2255" s="1"/>
      <c r="J2255" s="1"/>
      <c r="K2255" s="1"/>
    </row>
    <row r="2256" spans="1:11" ht="15">
      <c r="A2256" s="1"/>
      <c r="B2256" s="1"/>
      <c r="C2256" s="1"/>
      <c r="D2256" s="1"/>
      <c r="E2256" s="1"/>
      <c r="F2256" s="1"/>
      <c r="G2256" s="1"/>
      <c r="H2256" s="1"/>
      <c r="I2256" s="1"/>
      <c r="J2256" s="1"/>
      <c r="K2256" s="1"/>
    </row>
    <row r="2257" spans="1:11" ht="15">
      <c r="A2257" s="1"/>
      <c r="B2257" s="1"/>
      <c r="C2257" s="1"/>
      <c r="D2257" s="1"/>
      <c r="E2257" s="1"/>
      <c r="F2257" s="1"/>
      <c r="G2257" s="1"/>
      <c r="H2257" s="1"/>
      <c r="I2257" s="1"/>
      <c r="J2257" s="1"/>
      <c r="K2257" s="1"/>
    </row>
    <row r="2258" spans="1:11" ht="15">
      <c r="A2258" s="1"/>
      <c r="B2258" s="1"/>
      <c r="C2258" s="1"/>
      <c r="D2258" s="1"/>
      <c r="E2258" s="1"/>
      <c r="F2258" s="1"/>
      <c r="G2258" s="1"/>
      <c r="H2258" s="1"/>
      <c r="I2258" s="1"/>
      <c r="J2258" s="1"/>
      <c r="K2258" s="1"/>
    </row>
    <row r="2259" spans="1:11" ht="15">
      <c r="A2259" s="1"/>
      <c r="B2259" s="1"/>
      <c r="C2259" s="1"/>
      <c r="D2259" s="1"/>
      <c r="E2259" s="1"/>
      <c r="F2259" s="1"/>
      <c r="G2259" s="1"/>
      <c r="H2259" s="1"/>
      <c r="I2259" s="1"/>
      <c r="J2259" s="1"/>
      <c r="K2259" s="1"/>
    </row>
    <row r="2260" spans="1:11" ht="15">
      <c r="A2260" s="1"/>
      <c r="B2260" s="1"/>
      <c r="C2260" s="1"/>
      <c r="D2260" s="1"/>
      <c r="E2260" s="1"/>
      <c r="F2260" s="1"/>
      <c r="G2260" s="1"/>
      <c r="H2260" s="1"/>
      <c r="I2260" s="1"/>
      <c r="J2260" s="1"/>
      <c r="K2260" s="1"/>
    </row>
    <row r="2261" spans="1:11" ht="15">
      <c r="A2261" s="1"/>
      <c r="B2261" s="1"/>
      <c r="C2261" s="1"/>
      <c r="D2261" s="1"/>
      <c r="E2261" s="1"/>
      <c r="F2261" s="1"/>
      <c r="G2261" s="1"/>
      <c r="H2261" s="1"/>
      <c r="I2261" s="1"/>
      <c r="J2261" s="1"/>
      <c r="K2261" s="1"/>
    </row>
    <row r="2262" spans="1:11" ht="15">
      <c r="A2262" s="1"/>
      <c r="B2262" s="1"/>
      <c r="C2262" s="1"/>
      <c r="D2262" s="1"/>
      <c r="E2262" s="1"/>
      <c r="F2262" s="1"/>
      <c r="G2262" s="1"/>
      <c r="H2262" s="1"/>
      <c r="I2262" s="1"/>
      <c r="J2262" s="1"/>
      <c r="K2262" s="1"/>
    </row>
    <row r="2263" spans="1:11" ht="15">
      <c r="A2263" s="1"/>
      <c r="B2263" s="1"/>
      <c r="C2263" s="1"/>
      <c r="D2263" s="1"/>
      <c r="E2263" s="1"/>
      <c r="F2263" s="1"/>
      <c r="G2263" s="1"/>
      <c r="H2263" s="1"/>
      <c r="I2263" s="1"/>
      <c r="J2263" s="1"/>
      <c r="K2263" s="1"/>
    </row>
    <row r="2264" spans="1:11" ht="15">
      <c r="A2264" s="1"/>
      <c r="B2264" s="1"/>
      <c r="C2264" s="1"/>
      <c r="D2264" s="1"/>
      <c r="E2264" s="1"/>
      <c r="F2264" s="1"/>
      <c r="G2264" s="1"/>
      <c r="H2264" s="1"/>
      <c r="I2264" s="1"/>
      <c r="J2264" s="1"/>
      <c r="K2264" s="1"/>
    </row>
    <row r="2265" spans="1:11" ht="15">
      <c r="A2265" s="1"/>
      <c r="B2265" s="1"/>
      <c r="C2265" s="1"/>
      <c r="D2265" s="1"/>
      <c r="E2265" s="1"/>
      <c r="F2265" s="1"/>
      <c r="G2265" s="1"/>
      <c r="H2265" s="1"/>
      <c r="I2265" s="1"/>
      <c r="J2265" s="1"/>
      <c r="K2265" s="1"/>
    </row>
    <row r="2266" spans="1:11" ht="15">
      <c r="A2266" s="1"/>
      <c r="B2266" s="1"/>
      <c r="C2266" s="1"/>
      <c r="D2266" s="1"/>
      <c r="E2266" s="1"/>
      <c r="F2266" s="1"/>
      <c r="G2266" s="1"/>
      <c r="H2266" s="1"/>
      <c r="I2266" s="1"/>
      <c r="J2266" s="1"/>
      <c r="K2266" s="1"/>
    </row>
    <row r="2267" spans="1:11" ht="15">
      <c r="A2267" s="1"/>
      <c r="B2267" s="1"/>
      <c r="C2267" s="1"/>
      <c r="D2267" s="1"/>
      <c r="E2267" s="1"/>
      <c r="F2267" s="1"/>
      <c r="G2267" s="1"/>
      <c r="H2267" s="1"/>
      <c r="I2267" s="1"/>
      <c r="J2267" s="1"/>
      <c r="K2267" s="1"/>
    </row>
    <row r="2268" spans="1:11" ht="15">
      <c r="A2268" s="1"/>
      <c r="B2268" s="1"/>
      <c r="C2268" s="1"/>
      <c r="D2268" s="1"/>
      <c r="E2268" s="1"/>
      <c r="F2268" s="1"/>
      <c r="G2268" s="1"/>
      <c r="H2268" s="1"/>
      <c r="I2268" s="1"/>
      <c r="J2268" s="1"/>
      <c r="K2268" s="1"/>
    </row>
    <row r="2269" spans="1:11" ht="15">
      <c r="A2269" s="1"/>
      <c r="B2269" s="1"/>
      <c r="C2269" s="1"/>
      <c r="D2269" s="1"/>
      <c r="E2269" s="1"/>
      <c r="F2269" s="1"/>
      <c r="G2269" s="1"/>
      <c r="H2269" s="1"/>
      <c r="I2269" s="1"/>
      <c r="J2269" s="1"/>
      <c r="K2269" s="1"/>
    </row>
    <row r="2270" spans="1:11" ht="15">
      <c r="A2270" s="1"/>
      <c r="B2270" s="1"/>
      <c r="C2270" s="1"/>
      <c r="D2270" s="1"/>
      <c r="E2270" s="1"/>
      <c r="F2270" s="1"/>
      <c r="G2270" s="1"/>
      <c r="H2270" s="1"/>
      <c r="I2270" s="1"/>
      <c r="J2270" s="1"/>
      <c r="K2270" s="1"/>
    </row>
    <row r="2271" spans="1:11" ht="15">
      <c r="A2271" s="1"/>
      <c r="B2271" s="1"/>
      <c r="C2271" s="1"/>
      <c r="D2271" s="1"/>
      <c r="E2271" s="1"/>
      <c r="F2271" s="1"/>
      <c r="G2271" s="1"/>
      <c r="H2271" s="1"/>
      <c r="I2271" s="1"/>
      <c r="J2271" s="1"/>
      <c r="K2271" s="1"/>
    </row>
    <row r="2272" spans="1:11" ht="15">
      <c r="A2272" s="1"/>
      <c r="B2272" s="1"/>
      <c r="C2272" s="1"/>
      <c r="D2272" s="1"/>
      <c r="E2272" s="1"/>
      <c r="F2272" s="1"/>
      <c r="G2272" s="1"/>
      <c r="H2272" s="1"/>
      <c r="I2272" s="1"/>
      <c r="J2272" s="1"/>
      <c r="K2272" s="1"/>
    </row>
    <row r="2273" spans="1:11" ht="15">
      <c r="A2273" s="1"/>
      <c r="B2273" s="1"/>
      <c r="C2273" s="1"/>
      <c r="D2273" s="1"/>
      <c r="E2273" s="1"/>
      <c r="F2273" s="1"/>
      <c r="G2273" s="1"/>
      <c r="H2273" s="1"/>
      <c r="I2273" s="1"/>
      <c r="J2273" s="1"/>
      <c r="K2273" s="1"/>
    </row>
    <row r="2274" spans="1:11" ht="15">
      <c r="A2274" s="1"/>
      <c r="B2274" s="1"/>
      <c r="C2274" s="1"/>
      <c r="D2274" s="1"/>
      <c r="E2274" s="1"/>
      <c r="F2274" s="1"/>
      <c r="G2274" s="1"/>
      <c r="H2274" s="1"/>
      <c r="I2274" s="1"/>
      <c r="J2274" s="1"/>
      <c r="K2274" s="1"/>
    </row>
    <row r="2275" spans="1:11" ht="15">
      <c r="A2275" s="1"/>
      <c r="B2275" s="1"/>
      <c r="C2275" s="1"/>
      <c r="D2275" s="1"/>
      <c r="E2275" s="1"/>
      <c r="F2275" s="1"/>
      <c r="G2275" s="1"/>
      <c r="H2275" s="1"/>
      <c r="I2275" s="1"/>
      <c r="J2275" s="1"/>
      <c r="K2275" s="1"/>
    </row>
    <row r="2276" spans="1:11" ht="15">
      <c r="A2276" s="1"/>
      <c r="B2276" s="1"/>
      <c r="C2276" s="1"/>
      <c r="D2276" s="1"/>
      <c r="E2276" s="1"/>
      <c r="F2276" s="1"/>
      <c r="G2276" s="1"/>
      <c r="H2276" s="1"/>
      <c r="I2276" s="1"/>
      <c r="J2276" s="1"/>
      <c r="K2276" s="1"/>
    </row>
    <row r="2277" spans="1:11" ht="15">
      <c r="A2277" s="1"/>
      <c r="B2277" s="1"/>
      <c r="C2277" s="1"/>
      <c r="D2277" s="1"/>
      <c r="E2277" s="1"/>
      <c r="F2277" s="1"/>
      <c r="G2277" s="1"/>
      <c r="H2277" s="1"/>
      <c r="I2277" s="1"/>
      <c r="J2277" s="1"/>
      <c r="K2277" s="1"/>
    </row>
    <row r="2278" spans="1:11" ht="15">
      <c r="A2278" s="1"/>
      <c r="B2278" s="1"/>
      <c r="C2278" s="1"/>
      <c r="D2278" s="1"/>
      <c r="E2278" s="1"/>
      <c r="F2278" s="1"/>
      <c r="G2278" s="1"/>
      <c r="H2278" s="1"/>
      <c r="I2278" s="1"/>
      <c r="J2278" s="1"/>
      <c r="K2278" s="1"/>
    </row>
    <row r="2279" spans="1:11" ht="15">
      <c r="A2279" s="1"/>
      <c r="B2279" s="1"/>
      <c r="C2279" s="1"/>
      <c r="D2279" s="1"/>
      <c r="E2279" s="1"/>
      <c r="F2279" s="1"/>
      <c r="G2279" s="1"/>
      <c r="H2279" s="1"/>
      <c r="I2279" s="1"/>
      <c r="J2279" s="1"/>
      <c r="K2279" s="1"/>
    </row>
    <row r="2280" spans="1:11" ht="15">
      <c r="A2280" s="1"/>
      <c r="B2280" s="1"/>
      <c r="C2280" s="1"/>
      <c r="D2280" s="1"/>
      <c r="E2280" s="1"/>
      <c r="F2280" s="1"/>
      <c r="G2280" s="1"/>
      <c r="H2280" s="1"/>
      <c r="I2280" s="1"/>
      <c r="J2280" s="1"/>
      <c r="K2280" s="1"/>
    </row>
    <row r="2281" spans="1:11" ht="15">
      <c r="A2281" s="1"/>
      <c r="B2281" s="1"/>
      <c r="C2281" s="1"/>
      <c r="D2281" s="1"/>
      <c r="E2281" s="1"/>
      <c r="F2281" s="1"/>
      <c r="G2281" s="1"/>
      <c r="H2281" s="1"/>
      <c r="I2281" s="1"/>
      <c r="J2281" s="1"/>
      <c r="K2281" s="1"/>
    </row>
    <row r="2282" spans="1:11" ht="15">
      <c r="A2282" s="1"/>
      <c r="B2282" s="1"/>
      <c r="C2282" s="1"/>
      <c r="D2282" s="1"/>
      <c r="E2282" s="1"/>
      <c r="F2282" s="1"/>
      <c r="G2282" s="1"/>
      <c r="H2282" s="1"/>
      <c r="I2282" s="1"/>
      <c r="J2282" s="1"/>
      <c r="K2282" s="1"/>
    </row>
    <row r="2283" spans="1:11" ht="15">
      <c r="A2283" s="1"/>
      <c r="B2283" s="1"/>
      <c r="C2283" s="1"/>
      <c r="D2283" s="1"/>
      <c r="E2283" s="1"/>
      <c r="F2283" s="1"/>
      <c r="G2283" s="1"/>
      <c r="H2283" s="1"/>
      <c r="I2283" s="1"/>
      <c r="J2283" s="1"/>
      <c r="K2283" s="1"/>
    </row>
    <row r="2284" spans="1:11" ht="15">
      <c r="A2284" s="1"/>
      <c r="B2284" s="1"/>
      <c r="C2284" s="1"/>
      <c r="D2284" s="1"/>
      <c r="E2284" s="1"/>
      <c r="F2284" s="1"/>
      <c r="G2284" s="1"/>
      <c r="H2284" s="1"/>
      <c r="I2284" s="1"/>
      <c r="J2284" s="1"/>
      <c r="K2284" s="1"/>
    </row>
    <row r="2285" spans="1:11" ht="15">
      <c r="A2285" s="1"/>
      <c r="B2285" s="1"/>
      <c r="C2285" s="1"/>
      <c r="D2285" s="1"/>
      <c r="E2285" s="1"/>
      <c r="F2285" s="1"/>
      <c r="G2285" s="1"/>
      <c r="H2285" s="1"/>
      <c r="I2285" s="1"/>
      <c r="J2285" s="1"/>
      <c r="K2285" s="1"/>
    </row>
    <row r="2286" spans="1:11" ht="15">
      <c r="A2286" s="1"/>
      <c r="B2286" s="1"/>
      <c r="C2286" s="1"/>
      <c r="D2286" s="1"/>
      <c r="E2286" s="1"/>
      <c r="F2286" s="1"/>
      <c r="G2286" s="1"/>
      <c r="H2286" s="1"/>
      <c r="I2286" s="1"/>
      <c r="J2286" s="1"/>
      <c r="K2286" s="1"/>
    </row>
    <row r="2287" spans="1:11" ht="15">
      <c r="A2287" s="1"/>
      <c r="B2287" s="1"/>
      <c r="C2287" s="1"/>
      <c r="D2287" s="1"/>
      <c r="E2287" s="1"/>
      <c r="F2287" s="1"/>
      <c r="G2287" s="1"/>
      <c r="H2287" s="1"/>
      <c r="I2287" s="1"/>
      <c r="J2287" s="1"/>
      <c r="K2287" s="1"/>
    </row>
    <row r="2288" spans="1:11" ht="15">
      <c r="A2288" s="1"/>
      <c r="B2288" s="1"/>
      <c r="C2288" s="1"/>
      <c r="D2288" s="1"/>
      <c r="E2288" s="1"/>
      <c r="F2288" s="1"/>
      <c r="G2288" s="1"/>
      <c r="H2288" s="1"/>
      <c r="I2288" s="1"/>
      <c r="J2288" s="1"/>
      <c r="K2288" s="1"/>
    </row>
    <row r="2289" spans="1:11" ht="15">
      <c r="A2289" s="1"/>
      <c r="B2289" s="1"/>
      <c r="C2289" s="1"/>
      <c r="D2289" s="1"/>
      <c r="E2289" s="1"/>
      <c r="F2289" s="1"/>
      <c r="G2289" s="1"/>
      <c r="H2289" s="1"/>
      <c r="I2289" s="1"/>
      <c r="J2289" s="1"/>
      <c r="K2289" s="1"/>
    </row>
    <row r="2290" spans="1:11" ht="15">
      <c r="A2290" s="1"/>
      <c r="B2290" s="1"/>
      <c r="C2290" s="1"/>
      <c r="D2290" s="1"/>
      <c r="E2290" s="1"/>
      <c r="F2290" s="1"/>
      <c r="G2290" s="1"/>
      <c r="H2290" s="1"/>
      <c r="I2290" s="1"/>
      <c r="J2290" s="1"/>
      <c r="K2290" s="1"/>
    </row>
    <row r="2291" spans="1:11" ht="15">
      <c r="A2291" s="1"/>
      <c r="B2291" s="1"/>
      <c r="C2291" s="1"/>
      <c r="D2291" s="1"/>
      <c r="E2291" s="1"/>
      <c r="F2291" s="1"/>
      <c r="G2291" s="1"/>
      <c r="H2291" s="1"/>
      <c r="I2291" s="1"/>
      <c r="J2291" s="1"/>
      <c r="K2291" s="1"/>
    </row>
    <row r="2292" spans="1:11" ht="15">
      <c r="A2292" s="1"/>
      <c r="B2292" s="1"/>
      <c r="C2292" s="1"/>
      <c r="D2292" s="1"/>
      <c r="E2292" s="1"/>
      <c r="F2292" s="1"/>
      <c r="G2292" s="1"/>
      <c r="H2292" s="1"/>
      <c r="I2292" s="1"/>
      <c r="J2292" s="1"/>
      <c r="K2292" s="1"/>
    </row>
    <row r="2293" spans="1:11" ht="15">
      <c r="A2293" s="1"/>
      <c r="B2293" s="1"/>
      <c r="C2293" s="1"/>
      <c r="D2293" s="1"/>
      <c r="E2293" s="1"/>
      <c r="F2293" s="1"/>
      <c r="G2293" s="1"/>
      <c r="H2293" s="1"/>
      <c r="I2293" s="1"/>
      <c r="J2293" s="1"/>
      <c r="K2293" s="1"/>
    </row>
    <row r="2294" spans="1:11" ht="15">
      <c r="A2294" s="1"/>
      <c r="B2294" s="1"/>
      <c r="C2294" s="1"/>
      <c r="D2294" s="1"/>
      <c r="E2294" s="1"/>
      <c r="F2294" s="1"/>
      <c r="G2294" s="1"/>
      <c r="H2294" s="1"/>
      <c r="I2294" s="1"/>
      <c r="J2294" s="1"/>
      <c r="K2294" s="1"/>
    </row>
    <row r="2295" spans="1:11" ht="15">
      <c r="A2295" s="1"/>
      <c r="B2295" s="1"/>
      <c r="C2295" s="1"/>
      <c r="D2295" s="1"/>
      <c r="E2295" s="1"/>
      <c r="F2295" s="1"/>
      <c r="G2295" s="1"/>
      <c r="H2295" s="1"/>
      <c r="I2295" s="1"/>
      <c r="J2295" s="1"/>
      <c r="K2295" s="1"/>
    </row>
    <row r="2296" spans="1:11" ht="15">
      <c r="A2296" s="1"/>
      <c r="B2296" s="1"/>
      <c r="C2296" s="1"/>
      <c r="D2296" s="1"/>
      <c r="E2296" s="1"/>
      <c r="F2296" s="1"/>
      <c r="G2296" s="1"/>
      <c r="H2296" s="1"/>
      <c r="I2296" s="1"/>
      <c r="J2296" s="1"/>
      <c r="K2296" s="1"/>
    </row>
    <row r="2297" spans="1:11" ht="15">
      <c r="A2297" s="1"/>
      <c r="B2297" s="1"/>
      <c r="C2297" s="1"/>
      <c r="D2297" s="1"/>
      <c r="E2297" s="1"/>
      <c r="F2297" s="1"/>
      <c r="G2297" s="1"/>
      <c r="H2297" s="1"/>
      <c r="I2297" s="1"/>
      <c r="J2297" s="1"/>
      <c r="K2297" s="1"/>
    </row>
    <row r="2298" spans="1:11" ht="15">
      <c r="A2298" s="1"/>
      <c r="B2298" s="1"/>
      <c r="C2298" s="1"/>
      <c r="D2298" s="1"/>
      <c r="E2298" s="1"/>
      <c r="F2298" s="1"/>
      <c r="G2298" s="1"/>
      <c r="H2298" s="1"/>
      <c r="I2298" s="1"/>
      <c r="J2298" s="1"/>
      <c r="K2298" s="1"/>
    </row>
    <row r="2299" spans="1:11" ht="15">
      <c r="A2299" s="1"/>
      <c r="B2299" s="1"/>
      <c r="C2299" s="1"/>
      <c r="D2299" s="1"/>
      <c r="E2299" s="1"/>
      <c r="F2299" s="1"/>
      <c r="G2299" s="1"/>
      <c r="H2299" s="1"/>
      <c r="I2299" s="1"/>
      <c r="J2299" s="1"/>
      <c r="K2299" s="1"/>
    </row>
    <row r="2300" spans="1:11" ht="15">
      <c r="A2300" s="1"/>
      <c r="B2300" s="1"/>
      <c r="C2300" s="1"/>
      <c r="D2300" s="1"/>
      <c r="E2300" s="1"/>
      <c r="F2300" s="1"/>
      <c r="G2300" s="1"/>
      <c r="H2300" s="1"/>
      <c r="I2300" s="1"/>
      <c r="J2300" s="1"/>
      <c r="K2300" s="1"/>
    </row>
    <row r="2301" spans="1:11" ht="15">
      <c r="A2301" s="1"/>
      <c r="B2301" s="1"/>
      <c r="C2301" s="1"/>
      <c r="D2301" s="1"/>
      <c r="E2301" s="1"/>
      <c r="F2301" s="1"/>
      <c r="G2301" s="1"/>
      <c r="H2301" s="1"/>
      <c r="I2301" s="1"/>
      <c r="J2301" s="1"/>
      <c r="K2301" s="1"/>
    </row>
    <row r="2302" spans="1:11" ht="15">
      <c r="A2302" s="1"/>
      <c r="B2302" s="1"/>
      <c r="C2302" s="1"/>
      <c r="D2302" s="1"/>
      <c r="E2302" s="1"/>
      <c r="F2302" s="1"/>
      <c r="G2302" s="1"/>
      <c r="H2302" s="1"/>
      <c r="I2302" s="1"/>
      <c r="J2302" s="1"/>
      <c r="K2302" s="1"/>
    </row>
    <row r="2303" spans="1:11" ht="15">
      <c r="A2303" s="1"/>
      <c r="B2303" s="1"/>
      <c r="C2303" s="1"/>
      <c r="D2303" s="1"/>
      <c r="E2303" s="1"/>
      <c r="F2303" s="1"/>
      <c r="G2303" s="1"/>
      <c r="H2303" s="1"/>
      <c r="I2303" s="1"/>
      <c r="J2303" s="1"/>
      <c r="K2303" s="1"/>
    </row>
    <row r="2304" spans="1:11" ht="15">
      <c r="A2304" s="1"/>
      <c r="B2304" s="1"/>
      <c r="C2304" s="1"/>
      <c r="D2304" s="1"/>
      <c r="E2304" s="1"/>
      <c r="F2304" s="1"/>
      <c r="G2304" s="1"/>
      <c r="H2304" s="1"/>
      <c r="I2304" s="1"/>
      <c r="J2304" s="1"/>
      <c r="K2304" s="1"/>
    </row>
    <row r="2305" spans="1:11" ht="15">
      <c r="A2305" s="1"/>
      <c r="B2305" s="1"/>
      <c r="C2305" s="1"/>
      <c r="D2305" s="1"/>
      <c r="E2305" s="1"/>
      <c r="F2305" s="1"/>
      <c r="G2305" s="1"/>
      <c r="H2305" s="1"/>
      <c r="I2305" s="1"/>
      <c r="J2305" s="1"/>
      <c r="K2305" s="1"/>
    </row>
    <row r="2306" spans="1:11" ht="15">
      <c r="A2306" s="1"/>
      <c r="B2306" s="1"/>
      <c r="C2306" s="1"/>
      <c r="D2306" s="1"/>
      <c r="E2306" s="1"/>
      <c r="F2306" s="1"/>
      <c r="G2306" s="1"/>
      <c r="H2306" s="1"/>
      <c r="I2306" s="1"/>
      <c r="J2306" s="1"/>
      <c r="K2306" s="1"/>
    </row>
    <row r="2307" spans="1:11" ht="15">
      <c r="A2307" s="1"/>
      <c r="B2307" s="1"/>
      <c r="C2307" s="1"/>
      <c r="D2307" s="1"/>
      <c r="E2307" s="1"/>
      <c r="F2307" s="1"/>
      <c r="G2307" s="1"/>
      <c r="H2307" s="1"/>
      <c r="I2307" s="1"/>
      <c r="J2307" s="1"/>
      <c r="K2307" s="1"/>
    </row>
    <row r="2308" spans="1:11" ht="15">
      <c r="A2308" s="1"/>
      <c r="B2308" s="1"/>
      <c r="C2308" s="1"/>
      <c r="D2308" s="1"/>
      <c r="E2308" s="1"/>
      <c r="F2308" s="1"/>
      <c r="G2308" s="1"/>
      <c r="H2308" s="1"/>
      <c r="I2308" s="1"/>
      <c r="J2308" s="1"/>
      <c r="K2308" s="1"/>
    </row>
    <row r="2309" spans="1:11" ht="15">
      <c r="A2309" s="1"/>
      <c r="B2309" s="1"/>
      <c r="C2309" s="1"/>
      <c r="D2309" s="1"/>
      <c r="E2309" s="1"/>
      <c r="F2309" s="1"/>
      <c r="G2309" s="1"/>
      <c r="H2309" s="1"/>
      <c r="I2309" s="1"/>
      <c r="J2309" s="1"/>
      <c r="K2309" s="1"/>
    </row>
    <row r="2310" spans="1:11" ht="15">
      <c r="A2310" s="1"/>
      <c r="B2310" s="1"/>
      <c r="C2310" s="1"/>
      <c r="D2310" s="1"/>
      <c r="E2310" s="1"/>
      <c r="F2310" s="1"/>
      <c r="G2310" s="1"/>
      <c r="H2310" s="1"/>
      <c r="I2310" s="1"/>
      <c r="J2310" s="1"/>
      <c r="K2310" s="1"/>
    </row>
    <row r="2311" spans="1:11" ht="15">
      <c r="A2311" s="1"/>
      <c r="B2311" s="1"/>
      <c r="C2311" s="1"/>
      <c r="D2311" s="1"/>
      <c r="E2311" s="1"/>
      <c r="F2311" s="1"/>
      <c r="G2311" s="1"/>
      <c r="H2311" s="1"/>
      <c r="I2311" s="1"/>
      <c r="J2311" s="1"/>
      <c r="K2311" s="1"/>
    </row>
    <row r="2312" spans="1:11" ht="15">
      <c r="A2312" s="1"/>
      <c r="B2312" s="1"/>
      <c r="C2312" s="1"/>
      <c r="D2312" s="1"/>
      <c r="E2312" s="1"/>
      <c r="F2312" s="1"/>
      <c r="G2312" s="1"/>
      <c r="H2312" s="1"/>
      <c r="I2312" s="1"/>
      <c r="J2312" s="1"/>
      <c r="K2312" s="1"/>
    </row>
    <row r="2313" spans="1:11" ht="15">
      <c r="A2313" s="1"/>
      <c r="B2313" s="1"/>
      <c r="C2313" s="1"/>
      <c r="D2313" s="1"/>
      <c r="E2313" s="1"/>
      <c r="F2313" s="1"/>
      <c r="G2313" s="1"/>
      <c r="H2313" s="1"/>
      <c r="I2313" s="1"/>
      <c r="J2313" s="1"/>
      <c r="K2313" s="1"/>
    </row>
    <row r="2314" spans="1:11" ht="15">
      <c r="A2314" s="1"/>
      <c r="B2314" s="1"/>
      <c r="C2314" s="1"/>
      <c r="D2314" s="1"/>
      <c r="E2314" s="1"/>
      <c r="F2314" s="1"/>
      <c r="G2314" s="1"/>
      <c r="H2314" s="1"/>
      <c r="I2314" s="1"/>
      <c r="J2314" s="1"/>
      <c r="K2314" s="1"/>
    </row>
    <row r="2315" spans="1:11" ht="15">
      <c r="A2315" s="1"/>
      <c r="B2315" s="1"/>
      <c r="C2315" s="1"/>
      <c r="D2315" s="1"/>
      <c r="E2315" s="1"/>
      <c r="F2315" s="1"/>
      <c r="G2315" s="1"/>
      <c r="H2315" s="1"/>
      <c r="I2315" s="1"/>
      <c r="J2315" s="1"/>
      <c r="K2315" s="1"/>
    </row>
    <row r="2316" spans="1:11" ht="15">
      <c r="A2316" s="1"/>
      <c r="B2316" s="1"/>
      <c r="C2316" s="1"/>
      <c r="D2316" s="1"/>
      <c r="E2316" s="1"/>
      <c r="F2316" s="1"/>
      <c r="G2316" s="1"/>
      <c r="H2316" s="1"/>
      <c r="I2316" s="1"/>
      <c r="J2316" s="1"/>
      <c r="K2316" s="1"/>
    </row>
    <row r="2317" spans="1:11" ht="15">
      <c r="A2317" s="1"/>
      <c r="B2317" s="1"/>
      <c r="C2317" s="1"/>
      <c r="D2317" s="1"/>
      <c r="E2317" s="1"/>
      <c r="F2317" s="1"/>
      <c r="G2317" s="1"/>
      <c r="H2317" s="1"/>
      <c r="I2317" s="1"/>
      <c r="J2317" s="1"/>
      <c r="K2317" s="1"/>
    </row>
    <row r="2318" spans="1:11" ht="15">
      <c r="A2318" s="1"/>
      <c r="B2318" s="1"/>
      <c r="C2318" s="1"/>
      <c r="D2318" s="1"/>
      <c r="E2318" s="1"/>
      <c r="F2318" s="1"/>
      <c r="G2318" s="1"/>
      <c r="H2318" s="1"/>
      <c r="I2318" s="1"/>
      <c r="J2318" s="1"/>
      <c r="K2318" s="1"/>
    </row>
    <row r="2319" spans="1:11" ht="15">
      <c r="A2319" s="1"/>
      <c r="B2319" s="1"/>
      <c r="C2319" s="1"/>
      <c r="D2319" s="1"/>
      <c r="E2319" s="1"/>
      <c r="F2319" s="1"/>
      <c r="G2319" s="1"/>
      <c r="H2319" s="1"/>
      <c r="I2319" s="1"/>
      <c r="J2319" s="1"/>
      <c r="K2319" s="1"/>
    </row>
    <row r="2320" spans="1:11" ht="15">
      <c r="A2320" s="1"/>
      <c r="B2320" s="1"/>
      <c r="C2320" s="1"/>
      <c r="D2320" s="1"/>
      <c r="E2320" s="1"/>
      <c r="F2320" s="1"/>
      <c r="G2320" s="1"/>
      <c r="H2320" s="1"/>
      <c r="I2320" s="1"/>
      <c r="J2320" s="1"/>
      <c r="K2320" s="1"/>
    </row>
    <row r="2321" spans="1:11" ht="15">
      <c r="A2321" s="1"/>
      <c r="B2321" s="1"/>
      <c r="C2321" s="1"/>
      <c r="D2321" s="1"/>
      <c r="E2321" s="1"/>
      <c r="F2321" s="1"/>
      <c r="G2321" s="1"/>
      <c r="H2321" s="1"/>
      <c r="I2321" s="1"/>
      <c r="J2321" s="1"/>
      <c r="K2321" s="1"/>
    </row>
    <row r="2322" spans="1:11" ht="15">
      <c r="A2322" s="1"/>
      <c r="B2322" s="1"/>
      <c r="C2322" s="1"/>
      <c r="D2322" s="1"/>
      <c r="E2322" s="1"/>
      <c r="F2322" s="1"/>
      <c r="G2322" s="1"/>
      <c r="H2322" s="1"/>
      <c r="I2322" s="1"/>
      <c r="J2322" s="1"/>
      <c r="K2322" s="1"/>
    </row>
    <row r="2323" spans="1:11" ht="15">
      <c r="A2323" s="1"/>
      <c r="B2323" s="1"/>
      <c r="C2323" s="1"/>
      <c r="D2323" s="1"/>
      <c r="E2323" s="1"/>
      <c r="F2323" s="1"/>
      <c r="G2323" s="1"/>
      <c r="H2323" s="1"/>
      <c r="I2323" s="1"/>
      <c r="J2323" s="1"/>
      <c r="K2323" s="1"/>
    </row>
    <row r="2324" spans="1:11" ht="15">
      <c r="A2324" s="1"/>
      <c r="B2324" s="1"/>
      <c r="C2324" s="1"/>
      <c r="D2324" s="1"/>
      <c r="E2324" s="1"/>
      <c r="F2324" s="1"/>
      <c r="G2324" s="1"/>
      <c r="H2324" s="1"/>
      <c r="I2324" s="1"/>
      <c r="J2324" s="1"/>
      <c r="K2324" s="1"/>
    </row>
    <row r="2325" spans="1:11" ht="15">
      <c r="A2325" s="1"/>
      <c r="B2325" s="1"/>
      <c r="C2325" s="1"/>
      <c r="D2325" s="1"/>
      <c r="E2325" s="1"/>
      <c r="F2325" s="1"/>
      <c r="G2325" s="1"/>
      <c r="H2325" s="1"/>
      <c r="I2325" s="1"/>
      <c r="J2325" s="1"/>
      <c r="K2325" s="1"/>
    </row>
    <row r="2326" spans="1:11" ht="15">
      <c r="A2326" s="1"/>
      <c r="B2326" s="1"/>
      <c r="C2326" s="1"/>
      <c r="D2326" s="1"/>
      <c r="E2326" s="1"/>
      <c r="F2326" s="1"/>
      <c r="G2326" s="1"/>
      <c r="H2326" s="1"/>
      <c r="I2326" s="1"/>
      <c r="J2326" s="1"/>
      <c r="K2326" s="1"/>
    </row>
    <row r="2327" spans="1:11" ht="15">
      <c r="A2327" s="1"/>
      <c r="B2327" s="1"/>
      <c r="C2327" s="1"/>
      <c r="D2327" s="1"/>
      <c r="E2327" s="1"/>
      <c r="F2327" s="1"/>
      <c r="G2327" s="1"/>
      <c r="H2327" s="1"/>
      <c r="I2327" s="1"/>
      <c r="J2327" s="1"/>
      <c r="K2327" s="1"/>
    </row>
    <row r="2328" spans="1:11" ht="15">
      <c r="A2328" s="1"/>
      <c r="B2328" s="1"/>
      <c r="C2328" s="1"/>
      <c r="D2328" s="1"/>
      <c r="E2328" s="1"/>
      <c r="F2328" s="1"/>
      <c r="G2328" s="1"/>
      <c r="H2328" s="1"/>
      <c r="I2328" s="1"/>
      <c r="J2328" s="1"/>
      <c r="K2328" s="1"/>
    </row>
    <row r="2329" spans="1:11" ht="15">
      <c r="A2329" s="1"/>
      <c r="B2329" s="1"/>
      <c r="C2329" s="1"/>
      <c r="D2329" s="1"/>
      <c r="E2329" s="1"/>
      <c r="F2329" s="1"/>
      <c r="G2329" s="1"/>
      <c r="H2329" s="1"/>
      <c r="I2329" s="1"/>
      <c r="J2329" s="1"/>
      <c r="K2329" s="1"/>
    </row>
    <row r="2330" spans="1:11" ht="15">
      <c r="A2330" s="1"/>
      <c r="B2330" s="1"/>
      <c r="C2330" s="1"/>
      <c r="D2330" s="1"/>
      <c r="E2330" s="1"/>
      <c r="F2330" s="1"/>
      <c r="G2330" s="1"/>
      <c r="H2330" s="1"/>
      <c r="I2330" s="1"/>
      <c r="J2330" s="1"/>
      <c r="K2330" s="1"/>
    </row>
    <row r="2331" spans="1:11" ht="15">
      <c r="A2331" s="1"/>
      <c r="B2331" s="1"/>
      <c r="C2331" s="1"/>
      <c r="D2331" s="1"/>
      <c r="E2331" s="1"/>
      <c r="F2331" s="1"/>
      <c r="G2331" s="1"/>
      <c r="H2331" s="1"/>
      <c r="I2331" s="1"/>
      <c r="J2331" s="1"/>
      <c r="K2331" s="1"/>
    </row>
    <row r="2332" spans="1:11" ht="15">
      <c r="A2332" s="1"/>
      <c r="B2332" s="1"/>
      <c r="C2332" s="1"/>
      <c r="D2332" s="1"/>
      <c r="E2332" s="1"/>
      <c r="F2332" s="1"/>
      <c r="G2332" s="1"/>
      <c r="H2332" s="1"/>
      <c r="I2332" s="1"/>
      <c r="J2332" s="1"/>
      <c r="K2332" s="1"/>
    </row>
    <row r="2333" spans="1:11" ht="15">
      <c r="A2333" s="1"/>
      <c r="B2333" s="1"/>
      <c r="C2333" s="1"/>
      <c r="D2333" s="1"/>
      <c r="E2333" s="1"/>
      <c r="F2333" s="1"/>
      <c r="G2333" s="1"/>
      <c r="H2333" s="1"/>
      <c r="I2333" s="1"/>
      <c r="J2333" s="1"/>
      <c r="K2333" s="1"/>
    </row>
    <row r="2334" spans="1:11" ht="15">
      <c r="A2334" s="1"/>
      <c r="B2334" s="1"/>
      <c r="C2334" s="1"/>
      <c r="D2334" s="1"/>
      <c r="E2334" s="1"/>
      <c r="F2334" s="1"/>
      <c r="G2334" s="1"/>
      <c r="H2334" s="1"/>
      <c r="I2334" s="1"/>
      <c r="J2334" s="1"/>
      <c r="K2334" s="1"/>
    </row>
    <row r="2335" spans="1:11" ht="15">
      <c r="A2335" s="1"/>
      <c r="B2335" s="1"/>
      <c r="C2335" s="1"/>
      <c r="D2335" s="1"/>
      <c r="E2335" s="1"/>
      <c r="F2335" s="1"/>
      <c r="G2335" s="1"/>
      <c r="H2335" s="1"/>
      <c r="I2335" s="1"/>
      <c r="J2335" s="1"/>
      <c r="K2335" s="1"/>
    </row>
    <row r="2336" spans="1:11" ht="15">
      <c r="A2336" s="1"/>
      <c r="B2336" s="1"/>
      <c r="C2336" s="1"/>
      <c r="D2336" s="1"/>
      <c r="E2336" s="1"/>
      <c r="F2336" s="1"/>
      <c r="G2336" s="1"/>
      <c r="H2336" s="1"/>
      <c r="I2336" s="1"/>
      <c r="J2336" s="1"/>
      <c r="K2336" s="1"/>
    </row>
    <row r="2337" spans="1:11" ht="15">
      <c r="A2337" s="1"/>
      <c r="B2337" s="1"/>
      <c r="C2337" s="1"/>
      <c r="D2337" s="1"/>
      <c r="E2337" s="1"/>
      <c r="F2337" s="1"/>
      <c r="G2337" s="1"/>
      <c r="H2337" s="1"/>
      <c r="I2337" s="1"/>
      <c r="J2337" s="1"/>
      <c r="K2337" s="1"/>
    </row>
    <row r="2338" spans="1:11" ht="15">
      <c r="A2338" s="1"/>
      <c r="B2338" s="1"/>
      <c r="C2338" s="1"/>
      <c r="D2338" s="1"/>
      <c r="E2338" s="1"/>
      <c r="F2338" s="1"/>
      <c r="G2338" s="1"/>
      <c r="H2338" s="1"/>
      <c r="I2338" s="1"/>
      <c r="J2338" s="1"/>
      <c r="K2338" s="1"/>
    </row>
    <row r="2339" spans="1:11" ht="15">
      <c r="A2339" s="1"/>
      <c r="B2339" s="1"/>
      <c r="C2339" s="1"/>
      <c r="D2339" s="1"/>
      <c r="E2339" s="1"/>
      <c r="F2339" s="1"/>
      <c r="G2339" s="1"/>
      <c r="H2339" s="1"/>
      <c r="I2339" s="1"/>
      <c r="J2339" s="1"/>
      <c r="K2339" s="1"/>
    </row>
    <row r="2340" spans="1:11" ht="15">
      <c r="A2340" s="1"/>
      <c r="B2340" s="1"/>
      <c r="C2340" s="1"/>
      <c r="D2340" s="1"/>
      <c r="E2340" s="1"/>
      <c r="F2340" s="1"/>
      <c r="G2340" s="1"/>
      <c r="H2340" s="1"/>
      <c r="I2340" s="1"/>
      <c r="J2340" s="1"/>
      <c r="K2340" s="1"/>
    </row>
    <row r="2341" spans="1:11" ht="15">
      <c r="A2341" s="1"/>
      <c r="B2341" s="1"/>
      <c r="C2341" s="1"/>
      <c r="D2341" s="1"/>
      <c r="E2341" s="1"/>
      <c r="F2341" s="1"/>
      <c r="G2341" s="1"/>
      <c r="H2341" s="1"/>
      <c r="I2341" s="1"/>
      <c r="J2341" s="1"/>
      <c r="K2341" s="1"/>
    </row>
    <row r="2342" spans="1:11" ht="15">
      <c r="A2342" s="1"/>
      <c r="B2342" s="1"/>
      <c r="C2342" s="1"/>
      <c r="D2342" s="1"/>
      <c r="E2342" s="1"/>
      <c r="F2342" s="1"/>
      <c r="G2342" s="1"/>
      <c r="H2342" s="1"/>
      <c r="I2342" s="1"/>
      <c r="J2342" s="1"/>
      <c r="K2342" s="1"/>
    </row>
    <row r="2343" spans="1:11" ht="15">
      <c r="A2343" s="1"/>
      <c r="B2343" s="1"/>
      <c r="C2343" s="1"/>
      <c r="D2343" s="1"/>
      <c r="E2343" s="1"/>
      <c r="F2343" s="1"/>
      <c r="G2343" s="1"/>
      <c r="H2343" s="1"/>
      <c r="I2343" s="1"/>
      <c r="J2343" s="1"/>
      <c r="K2343" s="1"/>
    </row>
    <row r="2344" spans="1:11" ht="15">
      <c r="A2344" s="1"/>
      <c r="B2344" s="1"/>
      <c r="C2344" s="1"/>
      <c r="D2344" s="1"/>
      <c r="E2344" s="1"/>
      <c r="F2344" s="1"/>
      <c r="G2344" s="1"/>
      <c r="H2344" s="1"/>
      <c r="I2344" s="1"/>
      <c r="J2344" s="1"/>
      <c r="K2344" s="1"/>
    </row>
    <row r="2345" spans="1:11" ht="15">
      <c r="A2345" s="1"/>
      <c r="B2345" s="1"/>
      <c r="C2345" s="1"/>
      <c r="D2345" s="1"/>
      <c r="E2345" s="1"/>
      <c r="F2345" s="1"/>
      <c r="G2345" s="1"/>
      <c r="H2345" s="1"/>
      <c r="I2345" s="1"/>
      <c r="J2345" s="1"/>
      <c r="K2345" s="1"/>
    </row>
    <row r="2346" spans="1:11" ht="15">
      <c r="A2346" s="1"/>
      <c r="B2346" s="1"/>
      <c r="C2346" s="1"/>
      <c r="D2346" s="1"/>
      <c r="E2346" s="1"/>
      <c r="F2346" s="1"/>
      <c r="G2346" s="1"/>
      <c r="H2346" s="1"/>
      <c r="I2346" s="1"/>
      <c r="J2346" s="1"/>
      <c r="K2346" s="1"/>
    </row>
    <row r="2347" spans="1:11" ht="15">
      <c r="A2347" s="1"/>
      <c r="B2347" s="1"/>
      <c r="C2347" s="1"/>
      <c r="D2347" s="1"/>
      <c r="E2347" s="1"/>
      <c r="F2347" s="1"/>
      <c r="G2347" s="1"/>
      <c r="H2347" s="1"/>
      <c r="I2347" s="1"/>
      <c r="J2347" s="1"/>
      <c r="K2347" s="1"/>
    </row>
    <row r="2348" spans="1:11" ht="15">
      <c r="A2348" s="1"/>
      <c r="B2348" s="1"/>
      <c r="C2348" s="1"/>
      <c r="D2348" s="1"/>
      <c r="E2348" s="1"/>
      <c r="F2348" s="1"/>
      <c r="G2348" s="1"/>
      <c r="H2348" s="1"/>
      <c r="I2348" s="1"/>
      <c r="J2348" s="1"/>
      <c r="K2348" s="1"/>
    </row>
    <row r="2349" spans="1:11" ht="15">
      <c r="A2349" s="1"/>
      <c r="B2349" s="1"/>
      <c r="C2349" s="1"/>
      <c r="D2349" s="1"/>
      <c r="E2349" s="1"/>
      <c r="F2349" s="1"/>
      <c r="G2349" s="1"/>
      <c r="H2349" s="1"/>
      <c r="I2349" s="1"/>
      <c r="J2349" s="1"/>
      <c r="K2349" s="1"/>
    </row>
    <row r="2350" spans="1:11" ht="15">
      <c r="A2350" s="1"/>
      <c r="B2350" s="1"/>
      <c r="C2350" s="1"/>
      <c r="D2350" s="1"/>
      <c r="E2350" s="1"/>
      <c r="F2350" s="1"/>
      <c r="G2350" s="1"/>
      <c r="H2350" s="1"/>
      <c r="I2350" s="1"/>
      <c r="J2350" s="1"/>
      <c r="K2350" s="1"/>
    </row>
    <row r="2351" spans="1:11" ht="15">
      <c r="A2351" s="1"/>
      <c r="B2351" s="1"/>
      <c r="C2351" s="1"/>
      <c r="D2351" s="1"/>
      <c r="E2351" s="1"/>
      <c r="F2351" s="1"/>
      <c r="G2351" s="1"/>
      <c r="H2351" s="1"/>
      <c r="I2351" s="1"/>
      <c r="J2351" s="1"/>
      <c r="K2351" s="1"/>
    </row>
    <row r="2352" spans="1:11" ht="15">
      <c r="A2352" s="1"/>
      <c r="B2352" s="1"/>
      <c r="C2352" s="1"/>
      <c r="D2352" s="1"/>
      <c r="E2352" s="1"/>
      <c r="F2352" s="1"/>
      <c r="G2352" s="1"/>
      <c r="H2352" s="1"/>
      <c r="I2352" s="1"/>
      <c r="J2352" s="1"/>
      <c r="K2352" s="1"/>
    </row>
    <row r="2353" spans="1:11" ht="15">
      <c r="A2353" s="1"/>
      <c r="B2353" s="1"/>
      <c r="C2353" s="1"/>
      <c r="D2353" s="1"/>
      <c r="E2353" s="1"/>
      <c r="F2353" s="1"/>
      <c r="G2353" s="1"/>
      <c r="H2353" s="1"/>
      <c r="I2353" s="1"/>
      <c r="J2353" s="1"/>
      <c r="K2353" s="1"/>
    </row>
    <row r="2354" spans="1:11" ht="15">
      <c r="A2354" s="1"/>
      <c r="B2354" s="1"/>
      <c r="C2354" s="1"/>
      <c r="D2354" s="1"/>
      <c r="E2354" s="1"/>
      <c r="F2354" s="1"/>
      <c r="G2354" s="1"/>
      <c r="H2354" s="1"/>
      <c r="I2354" s="1"/>
      <c r="J2354" s="1"/>
      <c r="K2354" s="1"/>
    </row>
    <row r="2355" spans="1:11" ht="15">
      <c r="A2355" s="1"/>
      <c r="B2355" s="1"/>
      <c r="C2355" s="1"/>
      <c r="D2355" s="1"/>
      <c r="E2355" s="1"/>
      <c r="F2355" s="1"/>
      <c r="G2355" s="1"/>
      <c r="H2355" s="1"/>
      <c r="I2355" s="1"/>
      <c r="J2355" s="1"/>
      <c r="K2355" s="1"/>
    </row>
    <row r="2356" spans="1:11" ht="15">
      <c r="A2356" s="1"/>
      <c r="B2356" s="1"/>
      <c r="C2356" s="1"/>
      <c r="D2356" s="1"/>
      <c r="E2356" s="1"/>
      <c r="F2356" s="1"/>
      <c r="G2356" s="1"/>
      <c r="H2356" s="1"/>
      <c r="I2356" s="1"/>
      <c r="J2356" s="1"/>
      <c r="K2356" s="1"/>
    </row>
    <row r="2357" spans="1:11" ht="15">
      <c r="A2357" s="1"/>
      <c r="B2357" s="1"/>
      <c r="C2357" s="1"/>
      <c r="D2357" s="1"/>
      <c r="E2357" s="1"/>
      <c r="F2357" s="1"/>
      <c r="G2357" s="1"/>
      <c r="H2357" s="1"/>
      <c r="I2357" s="1"/>
      <c r="J2357" s="1"/>
      <c r="K2357" s="1"/>
    </row>
    <row r="2358" spans="1:11" ht="15">
      <c r="A2358" s="1"/>
      <c r="B2358" s="1"/>
      <c r="C2358" s="1"/>
      <c r="D2358" s="1"/>
      <c r="E2358" s="1"/>
      <c r="F2358" s="1"/>
      <c r="G2358" s="1"/>
      <c r="H2358" s="1"/>
      <c r="I2358" s="1"/>
      <c r="J2358" s="1"/>
      <c r="K2358" s="1"/>
    </row>
    <row r="2359" spans="1:11" ht="15">
      <c r="A2359" s="1"/>
      <c r="B2359" s="1"/>
      <c r="C2359" s="1"/>
      <c r="D2359" s="1"/>
      <c r="E2359" s="1"/>
      <c r="F2359" s="1"/>
      <c r="G2359" s="1"/>
      <c r="H2359" s="1"/>
      <c r="I2359" s="1"/>
      <c r="J2359" s="1"/>
      <c r="K2359" s="1"/>
    </row>
    <row r="2360" spans="1:11" ht="15">
      <c r="A2360" s="1"/>
      <c r="B2360" s="1"/>
      <c r="C2360" s="1"/>
      <c r="D2360" s="1"/>
      <c r="E2360" s="1"/>
      <c r="F2360" s="1"/>
      <c r="G2360" s="1"/>
      <c r="H2360" s="1"/>
      <c r="I2360" s="1"/>
      <c r="J2360" s="1"/>
      <c r="K2360" s="1"/>
    </row>
    <row r="2361" spans="1:11" ht="15">
      <c r="A2361" s="1"/>
      <c r="B2361" s="1"/>
      <c r="C2361" s="1"/>
      <c r="D2361" s="1"/>
      <c r="E2361" s="1"/>
      <c r="F2361" s="1"/>
      <c r="G2361" s="1"/>
      <c r="H2361" s="1"/>
      <c r="I2361" s="1"/>
      <c r="J2361" s="1"/>
      <c r="K2361" s="1"/>
    </row>
    <row r="2362" spans="1:11" ht="15">
      <c r="A2362" s="1"/>
      <c r="B2362" s="1"/>
      <c r="C2362" s="1"/>
      <c r="D2362" s="1"/>
      <c r="E2362" s="1"/>
      <c r="F2362" s="1"/>
      <c r="G2362" s="1"/>
      <c r="H2362" s="1"/>
      <c r="I2362" s="1"/>
      <c r="J2362" s="1"/>
      <c r="K2362" s="1"/>
    </row>
    <row r="2363" spans="1:11" ht="15">
      <c r="A2363" s="1"/>
      <c r="B2363" s="1"/>
      <c r="C2363" s="1"/>
      <c r="D2363" s="1"/>
      <c r="E2363" s="1"/>
      <c r="F2363" s="1"/>
      <c r="G2363" s="1"/>
      <c r="H2363" s="1"/>
      <c r="I2363" s="1"/>
      <c r="J2363" s="1"/>
      <c r="K2363" s="1"/>
    </row>
    <row r="2364" spans="1:11" ht="15">
      <c r="A2364" s="1"/>
      <c r="B2364" s="1"/>
      <c r="C2364" s="1"/>
      <c r="D2364" s="1"/>
      <c r="E2364" s="1"/>
      <c r="F2364" s="1"/>
      <c r="G2364" s="1"/>
      <c r="H2364" s="1"/>
      <c r="I2364" s="1"/>
      <c r="J2364" s="1"/>
      <c r="K2364" s="1"/>
    </row>
    <row r="2365" spans="1:11" ht="15">
      <c r="A2365" s="1"/>
      <c r="B2365" s="1"/>
      <c r="C2365" s="1"/>
      <c r="D2365" s="1"/>
      <c r="E2365" s="1"/>
      <c r="F2365" s="1"/>
      <c r="G2365" s="1"/>
      <c r="H2365" s="1"/>
      <c r="I2365" s="1"/>
      <c r="J2365" s="1"/>
      <c r="K2365" s="1"/>
    </row>
    <row r="2366" spans="1:11" ht="15">
      <c r="A2366" s="1"/>
      <c r="B2366" s="1"/>
      <c r="C2366" s="1"/>
      <c r="D2366" s="1"/>
      <c r="E2366" s="1"/>
      <c r="F2366" s="1"/>
      <c r="G2366" s="1"/>
      <c r="H2366" s="1"/>
      <c r="I2366" s="1"/>
      <c r="J2366" s="1"/>
      <c r="K2366" s="1"/>
    </row>
    <row r="2367" spans="1:11" ht="15">
      <c r="A2367" s="1"/>
      <c r="B2367" s="1"/>
      <c r="C2367" s="1"/>
      <c r="D2367" s="1"/>
      <c r="E2367" s="1"/>
      <c r="F2367" s="1"/>
      <c r="G2367" s="1"/>
      <c r="H2367" s="1"/>
      <c r="I2367" s="1"/>
      <c r="J2367" s="1"/>
      <c r="K2367" s="1"/>
    </row>
    <row r="2368" spans="1:11" ht="15">
      <c r="A2368" s="1"/>
      <c r="B2368" s="1"/>
      <c r="C2368" s="1"/>
      <c r="D2368" s="1"/>
      <c r="E2368" s="1"/>
      <c r="F2368" s="1"/>
      <c r="G2368" s="1"/>
      <c r="H2368" s="1"/>
      <c r="I2368" s="1"/>
      <c r="J2368" s="1"/>
      <c r="K2368" s="1"/>
    </row>
    <row r="2369" spans="1:11" ht="15">
      <c r="A2369" s="1"/>
      <c r="B2369" s="1"/>
      <c r="C2369" s="1"/>
      <c r="D2369" s="1"/>
      <c r="E2369" s="1"/>
      <c r="F2369" s="1"/>
      <c r="G2369" s="1"/>
      <c r="H2369" s="1"/>
      <c r="I2369" s="1"/>
      <c r="J2369" s="1"/>
      <c r="K2369" s="1"/>
    </row>
    <row r="2370" spans="1:11" ht="15">
      <c r="A2370" s="1"/>
      <c r="B2370" s="1"/>
      <c r="C2370" s="1"/>
      <c r="D2370" s="1"/>
      <c r="E2370" s="1"/>
      <c r="F2370" s="1"/>
      <c r="G2370" s="1"/>
      <c r="H2370" s="1"/>
      <c r="I2370" s="1"/>
      <c r="J2370" s="1"/>
      <c r="K2370" s="1"/>
    </row>
    <row r="2371" spans="1:11" ht="15">
      <c r="A2371" s="1"/>
      <c r="B2371" s="1"/>
      <c r="C2371" s="1"/>
      <c r="D2371" s="1"/>
      <c r="E2371" s="1"/>
      <c r="F2371" s="1"/>
      <c r="G2371" s="1"/>
      <c r="H2371" s="1"/>
      <c r="I2371" s="1"/>
      <c r="J2371" s="1"/>
      <c r="K2371" s="1"/>
    </row>
    <row r="2372" spans="1:11" ht="15">
      <c r="A2372" s="1"/>
      <c r="B2372" s="1"/>
      <c r="C2372" s="1"/>
      <c r="D2372" s="1"/>
      <c r="E2372" s="1"/>
      <c r="F2372" s="1"/>
      <c r="G2372" s="1"/>
      <c r="H2372" s="1"/>
      <c r="I2372" s="1"/>
      <c r="J2372" s="1"/>
      <c r="K2372" s="1"/>
    </row>
    <row r="2373" spans="1:11" ht="15">
      <c r="A2373" s="1"/>
      <c r="B2373" s="1"/>
      <c r="C2373" s="1"/>
      <c r="D2373" s="1"/>
      <c r="E2373" s="1"/>
      <c r="F2373" s="1"/>
      <c r="G2373" s="1"/>
      <c r="H2373" s="1"/>
      <c r="I2373" s="1"/>
      <c r="J2373" s="1"/>
      <c r="K2373" s="1"/>
    </row>
    <row r="2374" spans="1:11" ht="15">
      <c r="A2374" s="1"/>
      <c r="B2374" s="1"/>
      <c r="C2374" s="1"/>
      <c r="D2374" s="1"/>
      <c r="E2374" s="1"/>
      <c r="F2374" s="1"/>
      <c r="G2374" s="1"/>
      <c r="H2374" s="1"/>
      <c r="I2374" s="1"/>
      <c r="J2374" s="1"/>
      <c r="K2374" s="1"/>
    </row>
    <row r="2375" spans="1:11" ht="15">
      <c r="A2375" s="1"/>
      <c r="B2375" s="1"/>
      <c r="C2375" s="1"/>
      <c r="D2375" s="1"/>
      <c r="E2375" s="1"/>
      <c r="F2375" s="1"/>
      <c r="G2375" s="1"/>
      <c r="H2375" s="1"/>
      <c r="I2375" s="1"/>
      <c r="J2375" s="1"/>
      <c r="K2375" s="1"/>
    </row>
    <row r="2376" spans="1:11" ht="15">
      <c r="A2376" s="1"/>
      <c r="B2376" s="1"/>
      <c r="C2376" s="1"/>
      <c r="D2376" s="1"/>
      <c r="E2376" s="1"/>
      <c r="F2376" s="1"/>
      <c r="G2376" s="1"/>
      <c r="H2376" s="1"/>
      <c r="I2376" s="1"/>
      <c r="J2376" s="1"/>
      <c r="K2376" s="1"/>
    </row>
    <row r="2377" spans="1:11" ht="15">
      <c r="A2377" s="1"/>
      <c r="B2377" s="1"/>
      <c r="C2377" s="1"/>
      <c r="D2377" s="1"/>
      <c r="E2377" s="1"/>
      <c r="F2377" s="1"/>
      <c r="G2377" s="1"/>
      <c r="H2377" s="1"/>
      <c r="I2377" s="1"/>
      <c r="J2377" s="1"/>
      <c r="K2377" s="1"/>
    </row>
    <row r="2378" spans="1:11" ht="15">
      <c r="A2378" s="1"/>
      <c r="B2378" s="1"/>
      <c r="C2378" s="1"/>
      <c r="D2378" s="1"/>
      <c r="E2378" s="1"/>
      <c r="F2378" s="1"/>
      <c r="G2378" s="1"/>
      <c r="H2378" s="1"/>
      <c r="I2378" s="1"/>
      <c r="J2378" s="1"/>
      <c r="K2378" s="1"/>
    </row>
    <row r="2379" spans="1:11" ht="15">
      <c r="A2379" s="1"/>
      <c r="B2379" s="1"/>
      <c r="C2379" s="1"/>
      <c r="D2379" s="1"/>
      <c r="E2379" s="1"/>
      <c r="F2379" s="1"/>
      <c r="G2379" s="1"/>
      <c r="H2379" s="1"/>
      <c r="I2379" s="1"/>
      <c r="J2379" s="1"/>
      <c r="K2379" s="1"/>
    </row>
    <row r="2380" spans="1:11" ht="15">
      <c r="A2380" s="1"/>
      <c r="B2380" s="1"/>
      <c r="C2380" s="1"/>
      <c r="D2380" s="1"/>
      <c r="E2380" s="1"/>
      <c r="F2380" s="1"/>
      <c r="G2380" s="1"/>
      <c r="H2380" s="1"/>
      <c r="I2380" s="1"/>
      <c r="J2380" s="1"/>
      <c r="K2380" s="1"/>
    </row>
    <row r="2381" spans="1:11" ht="15">
      <c r="A2381" s="1"/>
      <c r="B2381" s="1"/>
      <c r="C2381" s="1"/>
      <c r="D2381" s="1"/>
      <c r="E2381" s="1"/>
      <c r="F2381" s="1"/>
      <c r="G2381" s="1"/>
      <c r="H2381" s="1"/>
      <c r="I2381" s="1"/>
      <c r="J2381" s="1"/>
      <c r="K2381" s="1"/>
    </row>
    <row r="2382" spans="1:11" ht="15">
      <c r="A2382" s="1"/>
      <c r="B2382" s="1"/>
      <c r="C2382" s="1"/>
      <c r="D2382" s="1"/>
      <c r="E2382" s="1"/>
      <c r="F2382" s="1"/>
      <c r="G2382" s="1"/>
      <c r="H2382" s="1"/>
      <c r="I2382" s="1"/>
      <c r="J2382" s="1"/>
      <c r="K2382" s="1"/>
    </row>
    <row r="2383" spans="1:11" ht="15">
      <c r="A2383" s="1"/>
      <c r="B2383" s="1"/>
      <c r="C2383" s="1"/>
      <c r="D2383" s="1"/>
      <c r="E2383" s="1"/>
      <c r="F2383" s="1"/>
      <c r="G2383" s="1"/>
      <c r="H2383" s="1"/>
      <c r="I2383" s="1"/>
      <c r="J2383" s="1"/>
      <c r="K2383" s="1"/>
    </row>
    <row r="2384" spans="1:11" ht="15">
      <c r="A2384" s="1"/>
      <c r="B2384" s="1"/>
      <c r="C2384" s="1"/>
      <c r="D2384" s="1"/>
      <c r="E2384" s="1"/>
      <c r="F2384" s="1"/>
      <c r="G2384" s="1"/>
      <c r="H2384" s="1"/>
      <c r="I2384" s="1"/>
      <c r="J2384" s="1"/>
      <c r="K2384" s="1"/>
    </row>
    <row r="2385" spans="1:11" ht="15">
      <c r="A2385" s="1"/>
      <c r="B2385" s="1"/>
      <c r="C2385" s="1"/>
      <c r="D2385" s="1"/>
      <c r="E2385" s="1"/>
      <c r="F2385" s="1"/>
      <c r="G2385" s="1"/>
      <c r="H2385" s="1"/>
      <c r="I2385" s="1"/>
      <c r="J2385" s="1"/>
      <c r="K2385" s="1"/>
    </row>
    <row r="2386" spans="1:11" ht="15">
      <c r="A2386" s="1"/>
      <c r="B2386" s="1"/>
      <c r="C2386" s="1"/>
      <c r="D2386" s="1"/>
      <c r="E2386" s="1"/>
      <c r="F2386" s="1"/>
      <c r="G2386" s="1"/>
      <c r="H2386" s="1"/>
      <c r="I2386" s="1"/>
      <c r="J2386" s="1"/>
      <c r="K2386" s="1"/>
    </row>
    <row r="2387" spans="1:11" ht="15">
      <c r="A2387" s="1"/>
      <c r="B2387" s="1"/>
      <c r="C2387" s="1"/>
      <c r="D2387" s="1"/>
      <c r="E2387" s="1"/>
      <c r="F2387" s="1"/>
      <c r="G2387" s="1"/>
      <c r="H2387" s="1"/>
      <c r="I2387" s="1"/>
      <c r="J2387" s="1"/>
      <c r="K2387" s="1"/>
    </row>
    <row r="2388" spans="1:11" ht="15">
      <c r="A2388" s="1"/>
      <c r="B2388" s="1"/>
      <c r="C2388" s="1"/>
      <c r="D2388" s="1"/>
      <c r="E2388" s="1"/>
      <c r="F2388" s="1"/>
      <c r="G2388" s="1"/>
      <c r="H2388" s="1"/>
      <c r="I2388" s="1"/>
      <c r="J2388" s="1"/>
      <c r="K2388" s="1"/>
    </row>
    <row r="2389" spans="1:11" ht="15">
      <c r="A2389" s="1"/>
      <c r="B2389" s="1"/>
      <c r="C2389" s="1"/>
      <c r="D2389" s="1"/>
      <c r="E2389" s="1"/>
      <c r="F2389" s="1"/>
      <c r="G2389" s="1"/>
      <c r="H2389" s="1"/>
      <c r="I2389" s="1"/>
      <c r="J2389" s="1"/>
      <c r="K2389" s="1"/>
    </row>
    <row r="2390" spans="1:11" ht="15">
      <c r="A2390" s="1"/>
      <c r="B2390" s="1"/>
      <c r="C2390" s="1"/>
      <c r="D2390" s="1"/>
      <c r="E2390" s="1"/>
      <c r="F2390" s="1"/>
      <c r="G2390" s="1"/>
      <c r="H2390" s="1"/>
      <c r="I2390" s="1"/>
      <c r="J2390" s="1"/>
      <c r="K2390" s="1"/>
    </row>
    <row r="2391" spans="1:11" ht="15">
      <c r="A2391" s="1"/>
      <c r="B2391" s="1"/>
      <c r="C2391" s="1"/>
      <c r="D2391" s="1"/>
      <c r="E2391" s="1"/>
      <c r="F2391" s="1"/>
      <c r="G2391" s="1"/>
      <c r="H2391" s="1"/>
      <c r="I2391" s="1"/>
      <c r="J2391" s="1"/>
      <c r="K2391" s="1"/>
    </row>
    <row r="2392" spans="1:11" ht="15">
      <c r="A2392" s="1"/>
      <c r="B2392" s="1"/>
      <c r="C2392" s="1"/>
      <c r="D2392" s="1"/>
      <c r="E2392" s="1"/>
      <c r="F2392" s="1"/>
      <c r="G2392" s="1"/>
      <c r="H2392" s="1"/>
      <c r="I2392" s="1"/>
      <c r="J2392" s="1"/>
      <c r="K2392" s="1"/>
    </row>
    <row r="2393" spans="1:11" ht="15">
      <c r="A2393" s="1"/>
      <c r="B2393" s="1"/>
      <c r="C2393" s="1"/>
      <c r="D2393" s="1"/>
      <c r="E2393" s="1"/>
      <c r="F2393" s="1"/>
      <c r="G2393" s="1"/>
      <c r="H2393" s="1"/>
      <c r="I2393" s="1"/>
      <c r="J2393" s="1"/>
      <c r="K2393" s="1"/>
    </row>
    <row r="2394" spans="1:11" ht="15">
      <c r="A2394" s="1"/>
      <c r="B2394" s="1"/>
      <c r="C2394" s="1"/>
      <c r="D2394" s="1"/>
      <c r="E2394" s="1"/>
      <c r="F2394" s="1"/>
      <c r="G2394" s="1"/>
      <c r="H2394" s="1"/>
      <c r="I2394" s="1"/>
      <c r="J2394" s="1"/>
      <c r="K2394" s="1"/>
    </row>
    <row r="2395" spans="1:11" ht="15">
      <c r="A2395" s="1"/>
      <c r="B2395" s="1"/>
      <c r="C2395" s="1"/>
      <c r="D2395" s="1"/>
      <c r="E2395" s="1"/>
      <c r="F2395" s="1"/>
      <c r="G2395" s="1"/>
      <c r="H2395" s="1"/>
      <c r="I2395" s="1"/>
      <c r="J2395" s="1"/>
      <c r="K2395" s="1"/>
    </row>
    <row r="2396" spans="1:11" ht="15">
      <c r="A2396" s="1"/>
      <c r="B2396" s="1"/>
      <c r="C2396" s="1"/>
      <c r="D2396" s="1"/>
      <c r="E2396" s="1"/>
      <c r="F2396" s="1"/>
      <c r="G2396" s="1"/>
      <c r="H2396" s="1"/>
      <c r="I2396" s="1"/>
      <c r="J2396" s="1"/>
      <c r="K2396" s="1"/>
    </row>
    <row r="2397" spans="1:11" ht="15">
      <c r="A2397" s="1"/>
      <c r="B2397" s="1"/>
      <c r="C2397" s="1"/>
      <c r="D2397" s="1"/>
      <c r="E2397" s="1"/>
      <c r="F2397" s="1"/>
      <c r="G2397" s="1"/>
      <c r="H2397" s="1"/>
      <c r="I2397" s="1"/>
      <c r="J2397" s="1"/>
      <c r="K2397" s="1"/>
    </row>
    <row r="2398" spans="1:11" ht="15">
      <c r="A2398" s="1"/>
      <c r="B2398" s="1"/>
      <c r="C2398" s="1"/>
      <c r="D2398" s="1"/>
      <c r="E2398" s="1"/>
      <c r="F2398" s="1"/>
      <c r="G2398" s="1"/>
      <c r="H2398" s="1"/>
      <c r="I2398" s="1"/>
      <c r="J2398" s="1"/>
      <c r="K2398" s="1"/>
    </row>
    <row r="2399" spans="1:11" ht="15">
      <c r="A2399" s="1"/>
      <c r="B2399" s="1"/>
      <c r="C2399" s="1"/>
      <c r="D2399" s="1"/>
      <c r="E2399" s="1"/>
      <c r="F2399" s="1"/>
      <c r="G2399" s="1"/>
      <c r="H2399" s="1"/>
      <c r="I2399" s="1"/>
      <c r="J2399" s="1"/>
      <c r="K2399" s="1"/>
    </row>
    <row r="2400" spans="1:11" ht="15">
      <c r="A2400" s="1"/>
      <c r="B2400" s="1"/>
      <c r="C2400" s="1"/>
      <c r="D2400" s="1"/>
      <c r="E2400" s="1"/>
      <c r="F2400" s="1"/>
      <c r="G2400" s="1"/>
      <c r="H2400" s="1"/>
      <c r="I2400" s="1"/>
      <c r="J2400" s="1"/>
      <c r="K2400" s="1"/>
    </row>
    <row r="2401" spans="1:11" ht="15">
      <c r="A2401" s="1"/>
      <c r="B2401" s="1"/>
      <c r="C2401" s="1"/>
      <c r="D2401" s="1"/>
      <c r="E2401" s="1"/>
      <c r="F2401" s="1"/>
      <c r="G2401" s="1"/>
      <c r="H2401" s="1"/>
      <c r="I2401" s="1"/>
      <c r="J2401" s="1"/>
      <c r="K2401" s="1"/>
    </row>
    <row r="2402" spans="1:11" ht="15">
      <c r="A2402" s="1"/>
      <c r="B2402" s="1"/>
      <c r="C2402" s="1"/>
      <c r="D2402" s="1"/>
      <c r="E2402" s="1"/>
      <c r="F2402" s="1"/>
      <c r="G2402" s="1"/>
      <c r="H2402" s="1"/>
      <c r="I2402" s="1"/>
      <c r="J2402" s="1"/>
      <c r="K2402" s="1"/>
    </row>
    <row r="2403" spans="1:11" ht="15">
      <c r="A2403" s="1"/>
      <c r="B2403" s="1"/>
      <c r="C2403" s="1"/>
      <c r="D2403" s="1"/>
      <c r="E2403" s="1"/>
      <c r="F2403" s="1"/>
      <c r="G2403" s="1"/>
      <c r="H2403" s="1"/>
      <c r="I2403" s="1"/>
      <c r="J2403" s="1"/>
      <c r="K2403" s="1"/>
    </row>
    <row r="2404" spans="1:11" ht="15">
      <c r="A2404" s="1"/>
      <c r="B2404" s="1"/>
      <c r="C2404" s="1"/>
      <c r="D2404" s="1"/>
      <c r="E2404" s="1"/>
      <c r="F2404" s="1"/>
      <c r="G2404" s="1"/>
      <c r="H2404" s="1"/>
      <c r="I2404" s="1"/>
      <c r="J2404" s="1"/>
      <c r="K2404" s="1"/>
    </row>
    <row r="2405" spans="1:11" ht="15">
      <c r="A2405" s="1"/>
      <c r="B2405" s="1"/>
      <c r="C2405" s="1"/>
      <c r="D2405" s="1"/>
      <c r="E2405" s="1"/>
      <c r="F2405" s="1"/>
      <c r="G2405" s="1"/>
      <c r="H2405" s="1"/>
      <c r="I2405" s="1"/>
      <c r="J2405" s="1"/>
      <c r="K2405" s="1"/>
    </row>
    <row r="2406" spans="1:11" ht="15">
      <c r="A2406" s="1"/>
      <c r="B2406" s="1"/>
      <c r="C2406" s="1"/>
      <c r="D2406" s="1"/>
      <c r="E2406" s="1"/>
      <c r="F2406" s="1"/>
      <c r="G2406" s="1"/>
      <c r="H2406" s="1"/>
      <c r="I2406" s="1"/>
      <c r="J2406" s="1"/>
      <c r="K2406" s="1"/>
    </row>
    <row r="2407" spans="1:11" ht="15">
      <c r="A2407" s="1"/>
      <c r="B2407" s="1"/>
      <c r="C2407" s="1"/>
      <c r="D2407" s="1"/>
      <c r="E2407" s="1"/>
      <c r="F2407" s="1"/>
      <c r="G2407" s="1"/>
      <c r="H2407" s="1"/>
      <c r="I2407" s="1"/>
      <c r="J2407" s="1"/>
      <c r="K2407" s="1"/>
    </row>
    <row r="2408" spans="1:11" ht="15">
      <c r="A2408" s="1"/>
      <c r="B2408" s="1"/>
      <c r="C2408" s="1"/>
      <c r="D2408" s="1"/>
      <c r="E2408" s="1"/>
      <c r="F2408" s="1"/>
      <c r="G2408" s="1"/>
      <c r="H2408" s="1"/>
      <c r="I2408" s="1"/>
      <c r="J2408" s="1"/>
      <c r="K2408" s="1"/>
    </row>
    <row r="2409" spans="1:11" ht="15">
      <c r="A2409" s="1"/>
      <c r="B2409" s="1"/>
      <c r="C2409" s="1"/>
      <c r="D2409" s="1"/>
      <c r="E2409" s="1"/>
      <c r="F2409" s="1"/>
      <c r="G2409" s="1"/>
      <c r="H2409" s="1"/>
      <c r="I2409" s="1"/>
      <c r="J2409" s="1"/>
      <c r="K2409" s="1"/>
    </row>
    <row r="2410" spans="1:11" ht="15">
      <c r="A2410" s="1"/>
      <c r="B2410" s="1"/>
      <c r="C2410" s="1"/>
      <c r="D2410" s="1"/>
      <c r="E2410" s="1"/>
      <c r="F2410" s="1"/>
      <c r="G2410" s="1"/>
      <c r="H2410" s="1"/>
      <c r="I2410" s="1"/>
      <c r="J2410" s="1"/>
      <c r="K2410" s="1"/>
    </row>
    <row r="2411" spans="1:11" ht="15">
      <c r="A2411" s="1"/>
      <c r="B2411" s="1"/>
      <c r="C2411" s="1"/>
      <c r="D2411" s="1"/>
      <c r="E2411" s="1"/>
      <c r="F2411" s="1"/>
      <c r="G2411" s="1"/>
      <c r="H2411" s="1"/>
      <c r="I2411" s="1"/>
      <c r="J2411" s="1"/>
      <c r="K2411" s="1"/>
    </row>
    <row r="2412" spans="1:11" ht="15">
      <c r="A2412" s="1"/>
      <c r="B2412" s="1"/>
      <c r="C2412" s="1"/>
      <c r="D2412" s="1"/>
      <c r="E2412" s="1"/>
      <c r="F2412" s="1"/>
      <c r="G2412" s="1"/>
      <c r="H2412" s="1"/>
      <c r="I2412" s="1"/>
      <c r="J2412" s="1"/>
      <c r="K2412" s="1"/>
    </row>
    <row r="2413" spans="1:11" ht="15">
      <c r="A2413" s="1"/>
      <c r="B2413" s="1"/>
      <c r="C2413" s="1"/>
      <c r="D2413" s="1"/>
      <c r="E2413" s="1"/>
      <c r="F2413" s="1"/>
      <c r="G2413" s="1"/>
      <c r="H2413" s="1"/>
      <c r="I2413" s="1"/>
      <c r="J2413" s="1"/>
      <c r="K2413" s="1"/>
    </row>
    <row r="2414" spans="1:11" ht="15">
      <c r="A2414" s="1"/>
      <c r="B2414" s="1"/>
      <c r="C2414" s="1"/>
      <c r="D2414" s="1"/>
      <c r="E2414" s="1"/>
      <c r="F2414" s="1"/>
      <c r="G2414" s="1"/>
      <c r="H2414" s="1"/>
      <c r="I2414" s="1"/>
      <c r="J2414" s="1"/>
      <c r="K2414" s="1"/>
    </row>
    <row r="2415" spans="1:11" ht="15">
      <c r="A2415" s="1"/>
      <c r="B2415" s="1"/>
      <c r="C2415" s="1"/>
      <c r="D2415" s="1"/>
      <c r="E2415" s="1"/>
      <c r="F2415" s="1"/>
      <c r="G2415" s="1"/>
      <c r="H2415" s="1"/>
      <c r="I2415" s="1"/>
      <c r="J2415" s="1"/>
      <c r="K2415" s="1"/>
    </row>
    <row r="2416" spans="1:11" ht="15">
      <c r="A2416" s="1"/>
      <c r="B2416" s="1"/>
      <c r="C2416" s="1"/>
      <c r="D2416" s="1"/>
      <c r="E2416" s="1"/>
      <c r="F2416" s="1"/>
      <c r="G2416" s="1"/>
      <c r="H2416" s="1"/>
      <c r="I2416" s="1"/>
      <c r="J2416" s="1"/>
      <c r="K2416" s="1"/>
    </row>
    <row r="2417" spans="1:11" ht="15">
      <c r="A2417" s="1"/>
      <c r="B2417" s="1"/>
      <c r="C2417" s="1"/>
      <c r="D2417" s="1"/>
      <c r="E2417" s="1"/>
      <c r="F2417" s="1"/>
      <c r="G2417" s="1"/>
      <c r="H2417" s="1"/>
      <c r="I2417" s="1"/>
      <c r="J2417" s="1"/>
      <c r="K2417" s="1"/>
    </row>
    <row r="2418" spans="1:11" ht="15">
      <c r="A2418" s="1"/>
      <c r="B2418" s="1"/>
      <c r="C2418" s="1"/>
      <c r="D2418" s="1"/>
      <c r="E2418" s="1"/>
      <c r="F2418" s="1"/>
      <c r="G2418" s="1"/>
      <c r="H2418" s="1"/>
      <c r="I2418" s="1"/>
      <c r="J2418" s="1"/>
      <c r="K2418" s="1"/>
    </row>
    <row r="2419" spans="1:11" ht="15">
      <c r="A2419" s="1"/>
      <c r="B2419" s="1"/>
      <c r="C2419" s="1"/>
      <c r="D2419" s="1"/>
      <c r="E2419" s="1"/>
      <c r="F2419" s="1"/>
      <c r="G2419" s="1"/>
      <c r="H2419" s="1"/>
      <c r="I2419" s="1"/>
      <c r="J2419" s="1"/>
      <c r="K2419" s="1"/>
    </row>
    <row r="2420" spans="1:11" ht="15">
      <c r="A2420" s="1"/>
      <c r="B2420" s="1"/>
      <c r="C2420" s="1"/>
      <c r="D2420" s="1"/>
      <c r="E2420" s="1"/>
      <c r="F2420" s="1"/>
      <c r="G2420" s="1"/>
      <c r="H2420" s="1"/>
      <c r="I2420" s="1"/>
      <c r="J2420" s="1"/>
      <c r="K2420" s="1"/>
    </row>
    <row r="2421" spans="1:11" ht="15">
      <c r="A2421" s="1"/>
      <c r="B2421" s="1"/>
      <c r="C2421" s="1"/>
      <c r="D2421" s="1"/>
      <c r="E2421" s="1"/>
      <c r="F2421" s="1"/>
      <c r="G2421" s="1"/>
      <c r="H2421" s="1"/>
      <c r="I2421" s="1"/>
      <c r="J2421" s="1"/>
      <c r="K2421" s="1"/>
    </row>
    <row r="2422" spans="1:11" ht="15">
      <c r="A2422" s="1"/>
      <c r="B2422" s="1"/>
      <c r="C2422" s="1"/>
      <c r="D2422" s="1"/>
      <c r="E2422" s="1"/>
      <c r="F2422" s="1"/>
      <c r="G2422" s="1"/>
      <c r="H2422" s="1"/>
      <c r="I2422" s="1"/>
      <c r="J2422" s="1"/>
      <c r="K2422" s="1"/>
    </row>
    <row r="2423" spans="1:11" ht="15">
      <c r="A2423" s="1"/>
      <c r="B2423" s="1"/>
      <c r="C2423" s="1"/>
      <c r="D2423" s="1"/>
      <c r="E2423" s="1"/>
      <c r="F2423" s="1"/>
      <c r="G2423" s="1"/>
      <c r="H2423" s="1"/>
      <c r="I2423" s="1"/>
      <c r="J2423" s="1"/>
      <c r="K2423" s="1"/>
    </row>
    <row r="2424" spans="1:11" ht="15">
      <c r="A2424" s="1"/>
      <c r="B2424" s="1"/>
      <c r="C2424" s="1"/>
      <c r="D2424" s="1"/>
      <c r="E2424" s="1"/>
      <c r="F2424" s="1"/>
      <c r="G2424" s="1"/>
      <c r="H2424" s="1"/>
      <c r="I2424" s="1"/>
      <c r="J2424" s="1"/>
      <c r="K2424" s="1"/>
    </row>
    <row r="2425" spans="1:11" ht="15">
      <c r="A2425" s="1"/>
      <c r="B2425" s="1"/>
      <c r="C2425" s="1"/>
      <c r="D2425" s="1"/>
      <c r="E2425" s="1"/>
      <c r="F2425" s="1"/>
      <c r="G2425" s="1"/>
      <c r="H2425" s="1"/>
      <c r="I2425" s="1"/>
      <c r="J2425" s="1"/>
      <c r="K2425" s="1"/>
    </row>
    <row r="2426" spans="1:11" ht="15">
      <c r="A2426" s="1"/>
      <c r="B2426" s="1"/>
      <c r="C2426" s="1"/>
      <c r="D2426" s="1"/>
      <c r="E2426" s="1"/>
      <c r="F2426" s="1"/>
      <c r="G2426" s="1"/>
      <c r="H2426" s="1"/>
      <c r="I2426" s="1"/>
      <c r="J2426" s="1"/>
      <c r="K2426" s="1"/>
    </row>
    <row r="2427" spans="1:11" ht="15">
      <c r="A2427" s="1"/>
      <c r="B2427" s="1"/>
      <c r="C2427" s="1"/>
      <c r="D2427" s="1"/>
      <c r="E2427" s="1"/>
      <c r="F2427" s="1"/>
      <c r="G2427" s="1"/>
      <c r="H2427" s="1"/>
      <c r="I2427" s="1"/>
      <c r="J2427" s="1"/>
      <c r="K2427" s="1"/>
    </row>
    <row r="2428" spans="1:11" ht="15">
      <c r="A2428" s="1"/>
      <c r="B2428" s="1"/>
      <c r="C2428" s="1"/>
      <c r="D2428" s="1"/>
      <c r="E2428" s="1"/>
      <c r="F2428" s="1"/>
      <c r="G2428" s="1"/>
      <c r="H2428" s="1"/>
      <c r="I2428" s="1"/>
      <c r="J2428" s="1"/>
      <c r="K2428" s="1"/>
    </row>
    <row r="2429" spans="1:11" ht="15">
      <c r="A2429" s="1"/>
      <c r="B2429" s="1"/>
      <c r="C2429" s="1"/>
      <c r="D2429" s="1"/>
      <c r="E2429" s="1"/>
      <c r="F2429" s="1"/>
      <c r="G2429" s="1"/>
      <c r="H2429" s="1"/>
      <c r="I2429" s="1"/>
      <c r="J2429" s="1"/>
      <c r="K2429" s="1"/>
    </row>
    <row r="2430" spans="1:11" ht="15">
      <c r="A2430" s="1"/>
      <c r="B2430" s="1"/>
      <c r="C2430" s="1"/>
      <c r="D2430" s="1"/>
      <c r="E2430" s="1"/>
      <c r="F2430" s="1"/>
      <c r="G2430" s="1"/>
      <c r="H2430" s="1"/>
      <c r="I2430" s="1"/>
      <c r="J2430" s="1"/>
      <c r="K2430" s="1"/>
    </row>
    <row r="2431" spans="1:11" ht="15">
      <c r="A2431" s="1"/>
      <c r="B2431" s="1"/>
      <c r="C2431" s="1"/>
      <c r="D2431" s="1"/>
      <c r="E2431" s="1"/>
      <c r="F2431" s="1"/>
      <c r="G2431" s="1"/>
      <c r="H2431" s="1"/>
      <c r="I2431" s="1"/>
      <c r="J2431" s="1"/>
      <c r="K2431" s="1"/>
    </row>
    <row r="2432" spans="1:11" ht="15">
      <c r="A2432" s="1"/>
      <c r="B2432" s="1"/>
      <c r="C2432" s="1"/>
      <c r="D2432" s="1"/>
      <c r="E2432" s="1"/>
      <c r="F2432" s="1"/>
      <c r="G2432" s="1"/>
      <c r="H2432" s="1"/>
      <c r="I2432" s="1"/>
      <c r="J2432" s="1"/>
      <c r="K2432" s="1"/>
    </row>
    <row r="2433" spans="1:11" ht="15">
      <c r="A2433" s="1"/>
      <c r="B2433" s="1"/>
      <c r="C2433" s="1"/>
      <c r="D2433" s="1"/>
      <c r="E2433" s="1"/>
      <c r="F2433" s="1"/>
      <c r="G2433" s="1"/>
      <c r="H2433" s="1"/>
      <c r="I2433" s="1"/>
      <c r="J2433" s="1"/>
      <c r="K2433" s="1"/>
    </row>
    <row r="2434" spans="1:11" ht="15">
      <c r="A2434" s="1"/>
      <c r="B2434" s="1"/>
      <c r="C2434" s="1"/>
      <c r="D2434" s="1"/>
      <c r="E2434" s="1"/>
      <c r="F2434" s="1"/>
      <c r="G2434" s="1"/>
      <c r="H2434" s="1"/>
      <c r="I2434" s="1"/>
      <c r="J2434" s="1"/>
      <c r="K2434" s="1"/>
    </row>
    <row r="2435" spans="1:11" ht="15">
      <c r="A2435" s="1"/>
      <c r="B2435" s="1"/>
      <c r="C2435" s="1"/>
      <c r="D2435" s="1"/>
      <c r="E2435" s="1"/>
      <c r="F2435" s="1"/>
      <c r="G2435" s="1"/>
      <c r="H2435" s="1"/>
      <c r="I2435" s="1"/>
      <c r="J2435" s="1"/>
      <c r="K2435" s="1"/>
    </row>
    <row r="2436" spans="1:11" ht="15">
      <c r="A2436" s="1"/>
      <c r="B2436" s="1"/>
      <c r="C2436" s="1"/>
      <c r="D2436" s="1"/>
      <c r="E2436" s="1"/>
      <c r="F2436" s="1"/>
      <c r="G2436" s="1"/>
      <c r="H2436" s="1"/>
      <c r="I2436" s="1"/>
      <c r="J2436" s="1"/>
      <c r="K2436" s="1"/>
    </row>
    <row r="2437" spans="1:11" ht="15">
      <c r="A2437" s="1"/>
      <c r="B2437" s="1"/>
      <c r="C2437" s="1"/>
      <c r="D2437" s="1"/>
      <c r="E2437" s="1"/>
      <c r="F2437" s="1"/>
      <c r="G2437" s="1"/>
      <c r="H2437" s="1"/>
      <c r="I2437" s="1"/>
      <c r="J2437" s="1"/>
      <c r="K2437" s="1"/>
    </row>
    <row r="2438" spans="1:11" ht="15">
      <c r="A2438" s="1"/>
      <c r="B2438" s="1"/>
      <c r="C2438" s="1"/>
      <c r="D2438" s="1"/>
      <c r="E2438" s="1"/>
      <c r="F2438" s="1"/>
      <c r="G2438" s="1"/>
      <c r="H2438" s="1"/>
      <c r="I2438" s="1"/>
      <c r="J2438" s="1"/>
      <c r="K2438" s="1"/>
    </row>
    <row r="2439" spans="1:11" ht="15">
      <c r="A2439" s="1"/>
      <c r="B2439" s="1"/>
      <c r="C2439" s="1"/>
      <c r="D2439" s="1"/>
      <c r="E2439" s="1"/>
      <c r="F2439" s="1"/>
      <c r="G2439" s="1"/>
      <c r="H2439" s="1"/>
      <c r="I2439" s="1"/>
      <c r="J2439" s="1"/>
      <c r="K2439" s="1"/>
    </row>
    <row r="2440" spans="1:11" ht="15">
      <c r="A2440" s="1"/>
      <c r="B2440" s="1"/>
      <c r="C2440" s="1"/>
      <c r="D2440" s="1"/>
      <c r="E2440" s="1"/>
      <c r="F2440" s="1"/>
      <c r="G2440" s="1"/>
      <c r="H2440" s="1"/>
      <c r="I2440" s="1"/>
      <c r="J2440" s="1"/>
      <c r="K2440" s="1"/>
    </row>
    <row r="2441" spans="1:11" ht="15">
      <c r="A2441" s="1"/>
      <c r="B2441" s="1"/>
      <c r="C2441" s="1"/>
      <c r="D2441" s="1"/>
      <c r="E2441" s="1"/>
      <c r="F2441" s="1"/>
      <c r="G2441" s="1"/>
      <c r="H2441" s="1"/>
      <c r="I2441" s="1"/>
      <c r="J2441" s="1"/>
      <c r="K2441" s="1"/>
    </row>
    <row r="2442" spans="1:11" ht="15">
      <c r="A2442" s="1"/>
      <c r="B2442" s="1"/>
      <c r="C2442" s="1"/>
      <c r="D2442" s="1"/>
      <c r="E2442" s="1"/>
      <c r="F2442" s="1"/>
      <c r="G2442" s="1"/>
      <c r="H2442" s="1"/>
      <c r="I2442" s="1"/>
      <c r="J2442" s="1"/>
      <c r="K2442" s="1"/>
    </row>
    <row r="2443" spans="1:11" ht="15">
      <c r="A2443" s="1"/>
      <c r="B2443" s="1"/>
      <c r="C2443" s="1"/>
      <c r="D2443" s="1"/>
      <c r="E2443" s="1"/>
      <c r="F2443" s="1"/>
      <c r="G2443" s="1"/>
      <c r="H2443" s="1"/>
      <c r="I2443" s="1"/>
      <c r="J2443" s="1"/>
      <c r="K2443" s="1"/>
    </row>
    <row r="2444" spans="1:11" ht="15">
      <c r="A2444" s="1"/>
      <c r="B2444" s="1"/>
      <c r="C2444" s="1"/>
      <c r="D2444" s="1"/>
      <c r="E2444" s="1"/>
      <c r="F2444" s="1"/>
      <c r="G2444" s="1"/>
      <c r="H2444" s="1"/>
      <c r="I2444" s="1"/>
      <c r="J2444" s="1"/>
      <c r="K2444" s="1"/>
    </row>
    <row r="2445" spans="1:11" ht="15">
      <c r="A2445" s="1"/>
      <c r="B2445" s="1"/>
      <c r="C2445" s="1"/>
      <c r="D2445" s="1"/>
      <c r="E2445" s="1"/>
      <c r="F2445" s="1"/>
      <c r="G2445" s="1"/>
      <c r="H2445" s="1"/>
      <c r="I2445" s="1"/>
      <c r="J2445" s="1"/>
      <c r="K2445" s="1"/>
    </row>
    <row r="2446" spans="1:11" ht="15">
      <c r="A2446" s="1"/>
      <c r="B2446" s="1"/>
      <c r="C2446" s="1"/>
      <c r="D2446" s="1"/>
      <c r="E2446" s="1"/>
      <c r="F2446" s="1"/>
      <c r="G2446" s="1"/>
      <c r="H2446" s="1"/>
      <c r="I2446" s="1"/>
      <c r="J2446" s="1"/>
      <c r="K2446" s="1"/>
    </row>
    <row r="2447" spans="1:11" ht="15">
      <c r="A2447" s="1"/>
      <c r="B2447" s="1"/>
      <c r="C2447" s="1"/>
      <c r="D2447" s="1"/>
      <c r="E2447" s="1"/>
      <c r="F2447" s="1"/>
      <c r="G2447" s="1"/>
      <c r="H2447" s="1"/>
      <c r="I2447" s="1"/>
      <c r="J2447" s="1"/>
      <c r="K2447" s="1"/>
    </row>
    <row r="2448" spans="1:11" ht="15">
      <c r="A2448" s="1"/>
      <c r="B2448" s="1"/>
      <c r="C2448" s="1"/>
      <c r="D2448" s="1"/>
      <c r="E2448" s="1"/>
      <c r="F2448" s="1"/>
      <c r="G2448" s="1"/>
      <c r="H2448" s="1"/>
      <c r="I2448" s="1"/>
      <c r="J2448" s="1"/>
      <c r="K2448" s="1"/>
    </row>
    <row r="2449" spans="1:11" ht="15">
      <c r="A2449" s="1"/>
      <c r="B2449" s="1"/>
      <c r="C2449" s="1"/>
      <c r="D2449" s="1"/>
      <c r="E2449" s="1"/>
      <c r="F2449" s="1"/>
      <c r="G2449" s="1"/>
      <c r="H2449" s="1"/>
      <c r="I2449" s="1"/>
      <c r="J2449" s="1"/>
      <c r="K2449" s="1"/>
    </row>
    <row r="2450" spans="1:11" ht="15">
      <c r="A2450" s="1"/>
      <c r="B2450" s="1"/>
      <c r="C2450" s="1"/>
      <c r="D2450" s="1"/>
      <c r="E2450" s="1"/>
      <c r="F2450" s="1"/>
      <c r="G2450" s="1"/>
      <c r="H2450" s="1"/>
      <c r="I2450" s="1"/>
      <c r="J2450" s="1"/>
      <c r="K2450" s="1"/>
    </row>
    <row r="2451" spans="1:11" ht="15">
      <c r="A2451" s="1"/>
      <c r="B2451" s="1"/>
      <c r="C2451" s="1"/>
      <c r="D2451" s="1"/>
      <c r="E2451" s="1"/>
      <c r="F2451" s="1"/>
      <c r="G2451" s="1"/>
      <c r="H2451" s="1"/>
      <c r="I2451" s="1"/>
      <c r="J2451" s="1"/>
      <c r="K2451" s="1"/>
    </row>
    <row r="2452" spans="1:11" ht="15">
      <c r="A2452" s="1"/>
      <c r="B2452" s="1"/>
      <c r="C2452" s="1"/>
      <c r="D2452" s="1"/>
      <c r="E2452" s="1"/>
      <c r="F2452" s="1"/>
      <c r="G2452" s="1"/>
      <c r="H2452" s="1"/>
      <c r="I2452" s="1"/>
      <c r="J2452" s="1"/>
      <c r="K2452" s="1"/>
    </row>
    <row r="2453" spans="1:11" ht="15">
      <c r="A2453" s="1"/>
      <c r="B2453" s="1"/>
      <c r="C2453" s="1"/>
      <c r="D2453" s="1"/>
      <c r="E2453" s="1"/>
      <c r="F2453" s="1"/>
      <c r="G2453" s="1"/>
      <c r="H2453" s="1"/>
      <c r="I2453" s="1"/>
      <c r="J2453" s="1"/>
      <c r="K2453" s="1"/>
    </row>
    <row r="2454" spans="1:11" ht="15">
      <c r="A2454" s="1"/>
      <c r="B2454" s="1"/>
      <c r="C2454" s="1"/>
      <c r="D2454" s="1"/>
      <c r="E2454" s="1"/>
      <c r="F2454" s="1"/>
      <c r="G2454" s="1"/>
      <c r="H2454" s="1"/>
      <c r="I2454" s="1"/>
      <c r="J2454" s="1"/>
      <c r="K2454" s="1"/>
    </row>
    <row r="2455" spans="1:11" ht="15">
      <c r="A2455" s="1"/>
      <c r="B2455" s="1"/>
      <c r="C2455" s="1"/>
      <c r="D2455" s="1"/>
      <c r="E2455" s="1"/>
      <c r="F2455" s="1"/>
      <c r="G2455" s="1"/>
      <c r="H2455" s="1"/>
      <c r="I2455" s="1"/>
      <c r="J2455" s="1"/>
      <c r="K2455" s="1"/>
    </row>
    <row r="2456" spans="1:11" ht="15">
      <c r="A2456" s="1"/>
      <c r="B2456" s="1"/>
      <c r="C2456" s="1"/>
      <c r="D2456" s="1"/>
      <c r="E2456" s="1"/>
      <c r="F2456" s="1"/>
      <c r="G2456" s="1"/>
      <c r="H2456" s="1"/>
      <c r="I2456" s="1"/>
      <c r="J2456" s="1"/>
      <c r="K2456" s="1"/>
    </row>
    <row r="2457" spans="1:11" ht="15">
      <c r="A2457" s="1"/>
      <c r="B2457" s="1"/>
      <c r="C2457" s="1"/>
      <c r="D2457" s="1"/>
      <c r="E2457" s="1"/>
      <c r="F2457" s="1"/>
      <c r="G2457" s="1"/>
      <c r="H2457" s="1"/>
      <c r="I2457" s="1"/>
      <c r="J2457" s="1"/>
      <c r="K2457" s="1"/>
    </row>
    <row r="2458" spans="1:11" ht="15">
      <c r="A2458" s="1"/>
      <c r="B2458" s="1"/>
      <c r="C2458" s="1"/>
      <c r="D2458" s="1"/>
      <c r="E2458" s="1"/>
      <c r="F2458" s="1"/>
      <c r="G2458" s="1"/>
      <c r="H2458" s="1"/>
      <c r="I2458" s="1"/>
      <c r="J2458" s="1"/>
      <c r="K2458" s="1"/>
    </row>
    <row r="2459" spans="1:11" ht="15">
      <c r="A2459" s="1"/>
      <c r="B2459" s="1"/>
      <c r="C2459" s="1"/>
      <c r="D2459" s="1"/>
      <c r="E2459" s="1"/>
      <c r="F2459" s="1"/>
      <c r="G2459" s="1"/>
      <c r="H2459" s="1"/>
      <c r="I2459" s="1"/>
      <c r="J2459" s="1"/>
      <c r="K2459" s="1"/>
    </row>
    <row r="2460" spans="1:11" ht="15">
      <c r="A2460" s="1"/>
      <c r="B2460" s="1"/>
      <c r="C2460" s="1"/>
      <c r="D2460" s="1"/>
      <c r="E2460" s="1"/>
      <c r="F2460" s="1"/>
      <c r="G2460" s="1"/>
      <c r="H2460" s="1"/>
      <c r="I2460" s="1"/>
      <c r="J2460" s="1"/>
      <c r="K2460" s="1"/>
    </row>
    <row r="2461" spans="1:11" ht="15">
      <c r="A2461" s="1"/>
      <c r="B2461" s="1"/>
      <c r="C2461" s="1"/>
      <c r="D2461" s="1"/>
      <c r="E2461" s="1"/>
      <c r="F2461" s="1"/>
      <c r="G2461" s="1"/>
      <c r="H2461" s="1"/>
      <c r="I2461" s="1"/>
      <c r="J2461" s="1"/>
      <c r="K2461" s="1"/>
    </row>
    <row r="2462" spans="1:11" ht="15">
      <c r="A2462" s="1"/>
      <c r="B2462" s="1"/>
      <c r="C2462" s="1"/>
      <c r="D2462" s="1"/>
      <c r="E2462" s="1"/>
      <c r="F2462" s="1"/>
      <c r="G2462" s="1"/>
      <c r="H2462" s="1"/>
      <c r="I2462" s="1"/>
      <c r="J2462" s="1"/>
      <c r="K2462" s="1"/>
    </row>
    <row r="2463" spans="1:11" ht="15">
      <c r="A2463" s="1"/>
      <c r="B2463" s="1"/>
      <c r="C2463" s="1"/>
      <c r="D2463" s="1"/>
      <c r="E2463" s="1"/>
      <c r="F2463" s="1"/>
      <c r="G2463" s="1"/>
      <c r="H2463" s="1"/>
      <c r="I2463" s="1"/>
      <c r="J2463" s="1"/>
      <c r="K2463" s="1"/>
    </row>
    <row r="2464" spans="1:11" ht="15">
      <c r="A2464" s="1"/>
      <c r="B2464" s="1"/>
      <c r="C2464" s="1"/>
      <c r="D2464" s="1"/>
      <c r="E2464" s="1"/>
      <c r="F2464" s="1"/>
      <c r="G2464" s="1"/>
      <c r="H2464" s="1"/>
      <c r="I2464" s="1"/>
      <c r="J2464" s="1"/>
      <c r="K2464" s="1"/>
    </row>
    <row r="2465" spans="1:11" ht="15">
      <c r="A2465" s="1"/>
      <c r="B2465" s="1"/>
      <c r="C2465" s="1"/>
      <c r="D2465" s="1"/>
      <c r="E2465" s="1"/>
      <c r="F2465" s="1"/>
      <c r="G2465" s="1"/>
      <c r="H2465" s="1"/>
      <c r="I2465" s="1"/>
      <c r="J2465" s="1"/>
      <c r="K2465" s="1"/>
    </row>
    <row r="2466" spans="1:11" ht="15">
      <c r="A2466" s="1"/>
      <c r="B2466" s="1"/>
      <c r="C2466" s="1"/>
      <c r="D2466" s="1"/>
      <c r="E2466" s="1"/>
      <c r="F2466" s="1"/>
      <c r="G2466" s="1"/>
      <c r="H2466" s="1"/>
      <c r="I2466" s="1"/>
      <c r="J2466" s="1"/>
      <c r="K2466" s="1"/>
    </row>
    <row r="2467" spans="1:11" ht="15">
      <c r="A2467" s="1"/>
      <c r="B2467" s="1"/>
      <c r="C2467" s="1"/>
      <c r="D2467" s="1"/>
      <c r="E2467" s="1"/>
      <c r="F2467" s="1"/>
      <c r="G2467" s="1"/>
      <c r="H2467" s="1"/>
      <c r="I2467" s="1"/>
      <c r="J2467" s="1"/>
      <c r="K2467" s="1"/>
    </row>
    <row r="2468" spans="1:11" ht="15">
      <c r="A2468" s="1"/>
      <c r="B2468" s="1"/>
      <c r="C2468" s="1"/>
      <c r="D2468" s="1"/>
      <c r="E2468" s="1"/>
      <c r="F2468" s="1"/>
      <c r="G2468" s="1"/>
      <c r="H2468" s="1"/>
      <c r="I2468" s="1"/>
      <c r="J2468" s="1"/>
      <c r="K2468" s="1"/>
    </row>
    <row r="2469" spans="1:11" ht="15">
      <c r="A2469" s="1"/>
      <c r="B2469" s="1"/>
      <c r="C2469" s="1"/>
      <c r="D2469" s="1"/>
      <c r="E2469" s="1"/>
      <c r="F2469" s="1"/>
      <c r="G2469" s="1"/>
      <c r="H2469" s="1"/>
      <c r="I2469" s="1"/>
      <c r="J2469" s="1"/>
      <c r="K2469" s="1"/>
    </row>
    <row r="2470" spans="1:11" ht="15">
      <c r="A2470" s="1"/>
      <c r="B2470" s="1"/>
      <c r="C2470" s="1"/>
      <c r="D2470" s="1"/>
      <c r="E2470" s="1"/>
      <c r="F2470" s="1"/>
      <c r="G2470" s="1"/>
      <c r="H2470" s="1"/>
      <c r="I2470" s="1"/>
      <c r="J2470" s="1"/>
      <c r="K2470" s="1"/>
    </row>
    <row r="2471" spans="1:11" ht="15">
      <c r="A2471" s="1"/>
      <c r="B2471" s="1"/>
      <c r="C2471" s="1"/>
      <c r="D2471" s="1"/>
      <c r="E2471" s="1"/>
      <c r="F2471" s="1"/>
      <c r="G2471" s="1"/>
      <c r="H2471" s="1"/>
      <c r="I2471" s="1"/>
      <c r="J2471" s="1"/>
      <c r="K2471" s="1"/>
    </row>
    <row r="2472" spans="1:11" ht="15">
      <c r="A2472" s="1"/>
      <c r="B2472" s="1"/>
      <c r="C2472" s="1"/>
      <c r="D2472" s="1"/>
      <c r="E2472" s="1"/>
      <c r="F2472" s="1"/>
      <c r="G2472" s="1"/>
      <c r="H2472" s="1"/>
      <c r="I2472" s="1"/>
      <c r="J2472" s="1"/>
      <c r="K2472" s="1"/>
    </row>
    <row r="2473" spans="1:11" ht="15">
      <c r="A2473" s="1"/>
      <c r="B2473" s="1"/>
      <c r="C2473" s="1"/>
      <c r="D2473" s="1"/>
      <c r="E2473" s="1"/>
      <c r="F2473" s="1"/>
      <c r="G2473" s="1"/>
      <c r="H2473" s="1"/>
      <c r="I2473" s="1"/>
      <c r="J2473" s="1"/>
      <c r="K2473" s="1"/>
    </row>
    <row r="2474" spans="1:11" ht="15">
      <c r="A2474" s="1"/>
      <c r="B2474" s="1"/>
      <c r="C2474" s="1"/>
      <c r="D2474" s="1"/>
      <c r="E2474" s="1"/>
      <c r="F2474" s="1"/>
      <c r="G2474" s="1"/>
      <c r="H2474" s="1"/>
      <c r="I2474" s="1"/>
      <c r="J2474" s="1"/>
      <c r="K2474" s="1"/>
    </row>
    <row r="2475" spans="1:11" ht="15">
      <c r="A2475" s="1"/>
      <c r="B2475" s="1"/>
      <c r="C2475" s="1"/>
      <c r="D2475" s="1"/>
      <c r="E2475" s="1"/>
      <c r="F2475" s="1"/>
      <c r="G2475" s="1"/>
      <c r="H2475" s="1"/>
      <c r="I2475" s="1"/>
      <c r="J2475" s="1"/>
      <c r="K2475" s="1"/>
    </row>
    <row r="2476" spans="1:11" ht="15">
      <c r="A2476" s="1"/>
      <c r="B2476" s="1"/>
      <c r="C2476" s="1"/>
      <c r="D2476" s="1"/>
      <c r="E2476" s="1"/>
      <c r="F2476" s="1"/>
      <c r="G2476" s="1"/>
      <c r="H2476" s="1"/>
      <c r="I2476" s="1"/>
      <c r="J2476" s="1"/>
      <c r="K2476" s="1"/>
    </row>
    <row r="2477" spans="1:11" ht="15">
      <c r="A2477" s="1"/>
      <c r="B2477" s="1"/>
      <c r="C2477" s="1"/>
      <c r="D2477" s="1"/>
      <c r="E2477" s="1"/>
      <c r="F2477" s="1"/>
      <c r="G2477" s="1"/>
      <c r="H2477" s="1"/>
      <c r="I2477" s="1"/>
      <c r="J2477" s="1"/>
      <c r="K2477" s="1"/>
    </row>
    <row r="2478" spans="1:11" ht="15">
      <c r="A2478" s="1"/>
      <c r="B2478" s="1"/>
      <c r="C2478" s="1"/>
      <c r="D2478" s="1"/>
      <c r="E2478" s="1"/>
      <c r="F2478" s="1"/>
      <c r="G2478" s="1"/>
      <c r="H2478" s="1"/>
      <c r="I2478" s="1"/>
      <c r="J2478" s="1"/>
      <c r="K2478" s="1"/>
    </row>
    <row r="2479" spans="1:11" ht="15">
      <c r="A2479" s="1"/>
      <c r="B2479" s="1"/>
      <c r="C2479" s="1"/>
      <c r="D2479" s="1"/>
      <c r="E2479" s="1"/>
      <c r="F2479" s="1"/>
      <c r="G2479" s="1"/>
      <c r="H2479" s="1"/>
      <c r="I2479" s="1"/>
      <c r="J2479" s="1"/>
      <c r="K2479" s="1"/>
    </row>
    <row r="2480" spans="1:11" ht="15">
      <c r="A2480" s="1"/>
      <c r="B2480" s="1"/>
      <c r="C2480" s="1"/>
      <c r="D2480" s="1"/>
      <c r="E2480" s="1"/>
      <c r="F2480" s="1"/>
      <c r="G2480" s="1"/>
      <c r="H2480" s="1"/>
      <c r="I2480" s="1"/>
      <c r="J2480" s="1"/>
      <c r="K2480" s="1"/>
    </row>
    <row r="2481" spans="1:11" ht="15">
      <c r="A2481" s="1"/>
      <c r="B2481" s="1"/>
      <c r="C2481" s="1"/>
      <c r="D2481" s="1"/>
      <c r="E2481" s="1"/>
      <c r="F2481" s="1"/>
      <c r="G2481" s="1"/>
      <c r="H2481" s="1"/>
      <c r="I2481" s="1"/>
      <c r="J2481" s="1"/>
      <c r="K2481" s="1"/>
    </row>
    <row r="2482" spans="1:11" ht="15">
      <c r="A2482" s="1"/>
      <c r="B2482" s="1"/>
      <c r="C2482" s="1"/>
      <c r="D2482" s="1"/>
      <c r="E2482" s="1"/>
      <c r="F2482" s="1"/>
      <c r="G2482" s="1"/>
      <c r="H2482" s="1"/>
      <c r="I2482" s="1"/>
      <c r="J2482" s="1"/>
      <c r="K2482" s="1"/>
    </row>
    <row r="2483" spans="1:11" ht="15">
      <c r="A2483" s="1"/>
      <c r="B2483" s="1"/>
      <c r="C2483" s="1"/>
      <c r="D2483" s="1"/>
      <c r="E2483" s="1"/>
      <c r="F2483" s="1"/>
      <c r="G2483" s="1"/>
      <c r="H2483" s="1"/>
      <c r="I2483" s="1"/>
      <c r="J2483" s="1"/>
      <c r="K2483" s="1"/>
    </row>
    <row r="2484" spans="1:11" ht="15">
      <c r="A2484" s="1"/>
      <c r="B2484" s="1"/>
      <c r="C2484" s="1"/>
      <c r="D2484" s="1"/>
      <c r="E2484" s="1"/>
      <c r="F2484" s="1"/>
      <c r="G2484" s="1"/>
      <c r="H2484" s="1"/>
      <c r="I2484" s="1"/>
      <c r="J2484" s="1"/>
      <c r="K2484" s="1"/>
    </row>
    <row r="2485" spans="1:11" ht="15">
      <c r="A2485" s="1"/>
      <c r="B2485" s="1"/>
      <c r="C2485" s="1"/>
      <c r="D2485" s="1"/>
      <c r="E2485" s="1"/>
      <c r="F2485" s="1"/>
      <c r="G2485" s="1"/>
      <c r="H2485" s="1"/>
      <c r="I2485" s="1"/>
      <c r="J2485" s="1"/>
      <c r="K2485" s="1"/>
    </row>
    <row r="2486" spans="1:11" ht="15">
      <c r="A2486" s="1"/>
      <c r="B2486" s="1"/>
      <c r="C2486" s="1"/>
      <c r="D2486" s="1"/>
      <c r="E2486" s="1"/>
      <c r="F2486" s="1"/>
      <c r="G2486" s="1"/>
      <c r="H2486" s="1"/>
      <c r="I2486" s="1"/>
      <c r="J2486" s="1"/>
      <c r="K2486" s="1"/>
    </row>
    <row r="2487" spans="1:11" ht="15">
      <c r="A2487" s="1"/>
      <c r="B2487" s="1"/>
      <c r="C2487" s="1"/>
      <c r="D2487" s="1"/>
      <c r="E2487" s="1"/>
      <c r="F2487" s="1"/>
      <c r="G2487" s="1"/>
      <c r="H2487" s="1"/>
      <c r="I2487" s="1"/>
      <c r="J2487" s="1"/>
      <c r="K2487" s="1"/>
    </row>
    <row r="2488" spans="1:11" ht="15">
      <c r="A2488" s="1"/>
      <c r="B2488" s="1"/>
      <c r="C2488" s="1"/>
      <c r="D2488" s="1"/>
      <c r="E2488" s="1"/>
      <c r="F2488" s="1"/>
      <c r="G2488" s="1"/>
      <c r="H2488" s="1"/>
      <c r="I2488" s="1"/>
      <c r="J2488" s="1"/>
      <c r="K2488" s="1"/>
    </row>
    <row r="2489" spans="1:11" ht="15">
      <c r="A2489" s="1"/>
      <c r="B2489" s="1"/>
      <c r="C2489" s="1"/>
      <c r="D2489" s="1"/>
      <c r="E2489" s="1"/>
      <c r="F2489" s="1"/>
      <c r="G2489" s="1"/>
      <c r="H2489" s="1"/>
      <c r="I2489" s="1"/>
      <c r="J2489" s="1"/>
      <c r="K2489" s="1"/>
    </row>
    <row r="2490" spans="1:11" ht="15">
      <c r="A2490" s="1"/>
      <c r="B2490" s="1"/>
      <c r="C2490" s="1"/>
      <c r="D2490" s="1"/>
      <c r="E2490" s="1"/>
      <c r="F2490" s="1"/>
      <c r="G2490" s="1"/>
      <c r="H2490" s="1"/>
      <c r="I2490" s="1"/>
      <c r="J2490" s="1"/>
      <c r="K2490" s="1"/>
    </row>
    <row r="2491" spans="1:11" ht="15">
      <c r="A2491" s="1"/>
      <c r="B2491" s="1"/>
      <c r="C2491" s="1"/>
      <c r="D2491" s="1"/>
      <c r="E2491" s="1"/>
      <c r="F2491" s="1"/>
      <c r="G2491" s="1"/>
      <c r="H2491" s="1"/>
      <c r="I2491" s="1"/>
      <c r="J2491" s="1"/>
      <c r="K2491" s="1"/>
    </row>
    <row r="2492" spans="1:11" ht="15">
      <c r="A2492" s="1"/>
      <c r="B2492" s="1"/>
      <c r="C2492" s="1"/>
      <c r="D2492" s="1"/>
      <c r="E2492" s="1"/>
      <c r="F2492" s="1"/>
      <c r="G2492" s="1"/>
      <c r="H2492" s="1"/>
      <c r="I2492" s="1"/>
      <c r="J2492" s="1"/>
      <c r="K2492" s="1"/>
    </row>
    <row r="2493" spans="1:11" ht="15">
      <c r="A2493" s="1"/>
      <c r="B2493" s="1"/>
      <c r="C2493" s="1"/>
      <c r="D2493" s="1"/>
      <c r="E2493" s="1"/>
      <c r="F2493" s="1"/>
      <c r="G2493" s="1"/>
      <c r="H2493" s="1"/>
      <c r="I2493" s="1"/>
      <c r="J2493" s="1"/>
      <c r="K2493" s="1"/>
    </row>
    <row r="2494" spans="1:11" ht="15">
      <c r="A2494" s="1"/>
      <c r="B2494" s="1"/>
      <c r="C2494" s="1"/>
      <c r="D2494" s="1"/>
      <c r="E2494" s="1"/>
      <c r="F2494" s="1"/>
      <c r="G2494" s="1"/>
      <c r="H2494" s="1"/>
      <c r="I2494" s="1"/>
      <c r="J2494" s="1"/>
      <c r="K2494" s="1"/>
    </row>
    <row r="2495" spans="1:11" ht="15">
      <c r="A2495" s="1"/>
      <c r="B2495" s="1"/>
      <c r="C2495" s="1"/>
      <c r="D2495" s="1"/>
      <c r="E2495" s="1"/>
      <c r="F2495" s="1"/>
      <c r="G2495" s="1"/>
      <c r="H2495" s="1"/>
      <c r="I2495" s="1"/>
      <c r="J2495" s="1"/>
      <c r="K2495" s="1"/>
    </row>
    <row r="2496" spans="1:11" ht="15">
      <c r="A2496" s="1"/>
      <c r="B2496" s="1"/>
      <c r="C2496" s="1"/>
      <c r="D2496" s="1"/>
      <c r="E2496" s="1"/>
      <c r="F2496" s="1"/>
      <c r="G2496" s="1"/>
      <c r="H2496" s="1"/>
      <c r="I2496" s="1"/>
      <c r="J2496" s="1"/>
      <c r="K2496" s="1"/>
    </row>
    <row r="2497" spans="1:11" ht="15">
      <c r="A2497" s="1"/>
      <c r="B2497" s="1"/>
      <c r="C2497" s="1"/>
      <c r="D2497" s="1"/>
      <c r="E2497" s="1"/>
      <c r="F2497" s="1"/>
      <c r="G2497" s="1"/>
      <c r="H2497" s="1"/>
      <c r="I2497" s="1"/>
      <c r="J2497" s="1"/>
      <c r="K2497" s="1"/>
    </row>
    <row r="2498" spans="1:11" ht="15">
      <c r="A2498" s="1"/>
      <c r="B2498" s="1"/>
      <c r="C2498" s="1"/>
      <c r="D2498" s="1"/>
      <c r="E2498" s="1"/>
      <c r="F2498" s="1"/>
      <c r="G2498" s="1"/>
      <c r="H2498" s="1"/>
      <c r="I2498" s="1"/>
      <c r="J2498" s="1"/>
      <c r="K2498" s="1"/>
    </row>
    <row r="2499" spans="1:11" ht="15">
      <c r="A2499" s="1"/>
      <c r="B2499" s="1"/>
      <c r="C2499" s="1"/>
      <c r="D2499" s="1"/>
      <c r="E2499" s="1"/>
      <c r="F2499" s="1"/>
      <c r="G2499" s="1"/>
      <c r="H2499" s="1"/>
      <c r="I2499" s="1"/>
      <c r="J2499" s="1"/>
      <c r="K2499" s="1"/>
    </row>
    <row r="2500" spans="1:11" ht="15">
      <c r="A2500" s="1"/>
      <c r="B2500" s="1"/>
      <c r="C2500" s="1"/>
      <c r="D2500" s="1"/>
      <c r="E2500" s="1"/>
      <c r="F2500" s="1"/>
      <c r="G2500" s="1"/>
      <c r="H2500" s="1"/>
      <c r="I2500" s="1"/>
      <c r="J2500" s="1"/>
      <c r="K2500" s="1"/>
    </row>
    <row r="2501" spans="1:11" ht="15">
      <c r="A2501" s="1"/>
      <c r="B2501" s="1"/>
      <c r="C2501" s="1"/>
      <c r="D2501" s="1"/>
      <c r="E2501" s="1"/>
      <c r="F2501" s="1"/>
      <c r="G2501" s="1"/>
      <c r="H2501" s="1"/>
      <c r="I2501" s="1"/>
      <c r="J2501" s="1"/>
      <c r="K2501" s="1"/>
    </row>
    <row r="2502" spans="1:11" ht="15">
      <c r="A2502" s="1"/>
      <c r="B2502" s="1"/>
      <c r="C2502" s="1"/>
      <c r="D2502" s="1"/>
      <c r="E2502" s="1"/>
      <c r="F2502" s="1"/>
      <c r="G2502" s="1"/>
      <c r="H2502" s="1"/>
      <c r="I2502" s="1"/>
      <c r="J2502" s="1"/>
      <c r="K2502" s="1"/>
    </row>
    <row r="2503" spans="1:11" ht="15">
      <c r="A2503" s="1"/>
      <c r="B2503" s="1"/>
      <c r="C2503" s="1"/>
      <c r="D2503" s="1"/>
      <c r="E2503" s="1"/>
      <c r="F2503" s="1"/>
      <c r="G2503" s="1"/>
      <c r="H2503" s="1"/>
      <c r="I2503" s="1"/>
      <c r="J2503" s="1"/>
      <c r="K2503" s="1"/>
    </row>
    <row r="2504" spans="1:11" ht="15">
      <c r="A2504" s="1"/>
      <c r="B2504" s="1"/>
      <c r="C2504" s="1"/>
      <c r="D2504" s="1"/>
      <c r="E2504" s="1"/>
      <c r="F2504" s="1"/>
      <c r="G2504" s="1"/>
      <c r="H2504" s="1"/>
      <c r="I2504" s="1"/>
      <c r="J2504" s="1"/>
      <c r="K2504" s="1"/>
    </row>
    <row r="2505" spans="1:11" ht="15">
      <c r="A2505" s="1"/>
      <c r="B2505" s="1"/>
      <c r="C2505" s="1"/>
      <c r="D2505" s="1"/>
      <c r="E2505" s="1"/>
      <c r="F2505" s="1"/>
      <c r="G2505" s="1"/>
      <c r="H2505" s="1"/>
      <c r="I2505" s="1"/>
      <c r="J2505" s="1"/>
      <c r="K2505" s="1"/>
    </row>
    <row r="2506" spans="1:11" ht="15">
      <c r="A2506" s="1"/>
      <c r="B2506" s="1"/>
      <c r="C2506" s="1"/>
      <c r="D2506" s="1"/>
      <c r="E2506" s="1"/>
      <c r="F2506" s="1"/>
      <c r="G2506" s="1"/>
      <c r="H2506" s="1"/>
      <c r="I2506" s="1"/>
      <c r="J2506" s="1"/>
      <c r="K2506" s="1"/>
    </row>
    <row r="2507" spans="1:11" ht="15">
      <c r="A2507" s="1"/>
      <c r="B2507" s="1"/>
      <c r="C2507" s="1"/>
      <c r="D2507" s="1"/>
      <c r="E2507" s="1"/>
      <c r="F2507" s="1"/>
      <c r="G2507" s="1"/>
      <c r="H2507" s="1"/>
      <c r="I2507" s="1"/>
      <c r="J2507" s="1"/>
      <c r="K2507" s="1"/>
    </row>
    <row r="2508" spans="1:11" ht="15">
      <c r="A2508" s="1"/>
      <c r="B2508" s="1"/>
      <c r="C2508" s="1"/>
      <c r="D2508" s="1"/>
      <c r="E2508" s="1"/>
      <c r="F2508" s="1"/>
      <c r="G2508" s="1"/>
      <c r="H2508" s="1"/>
      <c r="I2508" s="1"/>
      <c r="J2508" s="1"/>
      <c r="K2508" s="1"/>
    </row>
    <row r="2509" spans="1:11" ht="15">
      <c r="A2509" s="1"/>
      <c r="B2509" s="1"/>
      <c r="C2509" s="1"/>
      <c r="D2509" s="1"/>
      <c r="E2509" s="1"/>
      <c r="F2509" s="1"/>
      <c r="G2509" s="1"/>
      <c r="H2509" s="1"/>
      <c r="I2509" s="1"/>
      <c r="J2509" s="1"/>
      <c r="K2509" s="1"/>
    </row>
    <row r="2510" spans="1:11" ht="15">
      <c r="A2510" s="1"/>
      <c r="B2510" s="1"/>
      <c r="C2510" s="1"/>
      <c r="D2510" s="1"/>
      <c r="E2510" s="1"/>
      <c r="F2510" s="1"/>
      <c r="G2510" s="1"/>
      <c r="H2510" s="1"/>
      <c r="I2510" s="1"/>
      <c r="J2510" s="1"/>
      <c r="K2510" s="1"/>
    </row>
    <row r="2511" spans="1:11" ht="15">
      <c r="A2511" s="1"/>
      <c r="B2511" s="1"/>
      <c r="C2511" s="1"/>
      <c r="D2511" s="1"/>
      <c r="E2511" s="1"/>
      <c r="F2511" s="1"/>
      <c r="G2511" s="1"/>
      <c r="H2511" s="1"/>
      <c r="I2511" s="1"/>
      <c r="J2511" s="1"/>
      <c r="K2511" s="1"/>
    </row>
    <row r="2512" spans="1:11" ht="15">
      <c r="A2512" s="1"/>
      <c r="B2512" s="1"/>
      <c r="C2512" s="1"/>
      <c r="D2512" s="1"/>
      <c r="E2512" s="1"/>
      <c r="F2512" s="1"/>
      <c r="G2512" s="1"/>
      <c r="H2512" s="1"/>
      <c r="I2512" s="1"/>
      <c r="J2512" s="1"/>
      <c r="K2512" s="1"/>
    </row>
    <row r="2513" spans="1:11" ht="15">
      <c r="A2513" s="1"/>
      <c r="B2513" s="1"/>
      <c r="C2513" s="1"/>
      <c r="D2513" s="1"/>
      <c r="E2513" s="1"/>
      <c r="F2513" s="1"/>
      <c r="G2513" s="1"/>
      <c r="H2513" s="1"/>
      <c r="I2513" s="1"/>
      <c r="J2513" s="1"/>
      <c r="K2513" s="1"/>
    </row>
    <row r="2514" spans="1:11" ht="15">
      <c r="A2514" s="1"/>
      <c r="B2514" s="1"/>
      <c r="C2514" s="1"/>
      <c r="D2514" s="1"/>
      <c r="E2514" s="1"/>
      <c r="F2514" s="1"/>
      <c r="G2514" s="1"/>
      <c r="H2514" s="1"/>
      <c r="I2514" s="1"/>
      <c r="J2514" s="1"/>
      <c r="K2514" s="1"/>
    </row>
    <row r="2515" spans="1:11" ht="15">
      <c r="A2515" s="1"/>
      <c r="B2515" s="1"/>
      <c r="C2515" s="1"/>
      <c r="D2515" s="1"/>
      <c r="E2515" s="1"/>
      <c r="F2515" s="1"/>
      <c r="G2515" s="1"/>
      <c r="H2515" s="1"/>
      <c r="I2515" s="1"/>
      <c r="J2515" s="1"/>
      <c r="K2515" s="1"/>
    </row>
    <row r="2516" spans="1:11" ht="15">
      <c r="A2516" s="1"/>
      <c r="B2516" s="1"/>
      <c r="C2516" s="1"/>
      <c r="D2516" s="1"/>
      <c r="E2516" s="1"/>
      <c r="F2516" s="1"/>
      <c r="G2516" s="1"/>
      <c r="H2516" s="1"/>
      <c r="I2516" s="1"/>
      <c r="J2516" s="1"/>
      <c r="K2516" s="1"/>
    </row>
    <row r="2517" spans="1:11" ht="15">
      <c r="A2517" s="1"/>
      <c r="B2517" s="1"/>
      <c r="C2517" s="1"/>
      <c r="D2517" s="1"/>
      <c r="E2517" s="1"/>
      <c r="F2517" s="1"/>
      <c r="G2517" s="1"/>
      <c r="H2517" s="1"/>
      <c r="I2517" s="1"/>
      <c r="J2517" s="1"/>
      <c r="K2517" s="1"/>
    </row>
    <row r="2518" spans="1:11" ht="15">
      <c r="A2518" s="1"/>
      <c r="B2518" s="1"/>
      <c r="C2518" s="1"/>
      <c r="D2518" s="1"/>
      <c r="E2518" s="1"/>
      <c r="F2518" s="1"/>
      <c r="G2518" s="1"/>
      <c r="H2518" s="1"/>
      <c r="I2518" s="1"/>
      <c r="J2518" s="1"/>
      <c r="K2518" s="1"/>
    </row>
    <row r="2519" spans="1:11" ht="15">
      <c r="A2519" s="1"/>
      <c r="B2519" s="1"/>
      <c r="C2519" s="1"/>
      <c r="D2519" s="1"/>
      <c r="E2519" s="1"/>
      <c r="F2519" s="1"/>
      <c r="G2519" s="1"/>
      <c r="H2519" s="1"/>
      <c r="I2519" s="1"/>
      <c r="J2519" s="1"/>
      <c r="K2519" s="1"/>
    </row>
    <row r="2520" spans="1:11" ht="15">
      <c r="A2520" s="1"/>
      <c r="B2520" s="1"/>
      <c r="C2520" s="1"/>
      <c r="D2520" s="1"/>
      <c r="E2520" s="1"/>
      <c r="F2520" s="1"/>
      <c r="G2520" s="1"/>
      <c r="H2520" s="1"/>
      <c r="I2520" s="1"/>
      <c r="J2520" s="1"/>
      <c r="K2520" s="1"/>
    </row>
    <row r="2521" spans="1:11" ht="15">
      <c r="A2521" s="1"/>
      <c r="B2521" s="1"/>
      <c r="C2521" s="1"/>
      <c r="D2521" s="1"/>
      <c r="E2521" s="1"/>
      <c r="F2521" s="1"/>
      <c r="G2521" s="1"/>
      <c r="H2521" s="1"/>
      <c r="I2521" s="1"/>
      <c r="J2521" s="1"/>
      <c r="K2521" s="1"/>
    </row>
    <row r="2522" spans="1:11" ht="15">
      <c r="A2522" s="1"/>
      <c r="B2522" s="1"/>
      <c r="C2522" s="1"/>
      <c r="D2522" s="1"/>
      <c r="E2522" s="1"/>
      <c r="F2522" s="1"/>
      <c r="G2522" s="1"/>
      <c r="H2522" s="1"/>
      <c r="I2522" s="1"/>
      <c r="J2522" s="1"/>
      <c r="K2522" s="1"/>
    </row>
    <row r="2523" spans="1:11" ht="15">
      <c r="A2523" s="1"/>
      <c r="B2523" s="1"/>
      <c r="C2523" s="1"/>
      <c r="D2523" s="1"/>
      <c r="E2523" s="1"/>
      <c r="F2523" s="1"/>
      <c r="G2523" s="1"/>
      <c r="H2523" s="1"/>
      <c r="I2523" s="1"/>
      <c r="J2523" s="1"/>
      <c r="K2523" s="1"/>
    </row>
    <row r="2524" spans="1:11" ht="15">
      <c r="A2524" s="1"/>
      <c r="B2524" s="1"/>
      <c r="C2524" s="1"/>
      <c r="D2524" s="1"/>
      <c r="E2524" s="1"/>
      <c r="F2524" s="1"/>
      <c r="G2524" s="1"/>
      <c r="H2524" s="1"/>
      <c r="I2524" s="1"/>
      <c r="J2524" s="1"/>
      <c r="K2524" s="1"/>
    </row>
    <row r="2525" spans="1:11" ht="15">
      <c r="A2525" s="1"/>
      <c r="B2525" s="1"/>
      <c r="C2525" s="1"/>
      <c r="D2525" s="1"/>
      <c r="E2525" s="1"/>
      <c r="F2525" s="1"/>
      <c r="G2525" s="1"/>
      <c r="H2525" s="1"/>
      <c r="I2525" s="1"/>
      <c r="J2525" s="1"/>
      <c r="K2525" s="1"/>
    </row>
    <row r="2526" spans="1:11" ht="15">
      <c r="A2526" s="1"/>
      <c r="B2526" s="1"/>
      <c r="C2526" s="1"/>
      <c r="D2526" s="1"/>
      <c r="E2526" s="1"/>
      <c r="F2526" s="1"/>
      <c r="G2526" s="1"/>
      <c r="H2526" s="1"/>
      <c r="I2526" s="1"/>
      <c r="J2526" s="1"/>
      <c r="K2526" s="1"/>
    </row>
    <row r="2527" spans="1:11" ht="15">
      <c r="A2527" s="1"/>
      <c r="B2527" s="1"/>
      <c r="C2527" s="1"/>
      <c r="D2527" s="1"/>
      <c r="E2527" s="1"/>
      <c r="F2527" s="1"/>
      <c r="G2527" s="1"/>
      <c r="H2527" s="1"/>
      <c r="I2527" s="1"/>
      <c r="J2527" s="1"/>
      <c r="K2527" s="1"/>
    </row>
    <row r="2528" spans="1:11" ht="15">
      <c r="A2528" s="1"/>
      <c r="B2528" s="1"/>
      <c r="C2528" s="1"/>
      <c r="D2528" s="1"/>
      <c r="E2528" s="1"/>
      <c r="F2528" s="1"/>
      <c r="G2528" s="1"/>
      <c r="H2528" s="1"/>
      <c r="I2528" s="1"/>
      <c r="J2528" s="1"/>
      <c r="K2528" s="1"/>
    </row>
    <row r="2529" spans="1:11" ht="15">
      <c r="A2529" s="1"/>
      <c r="B2529" s="1"/>
      <c r="C2529" s="1"/>
      <c r="D2529" s="1"/>
      <c r="E2529" s="1"/>
      <c r="F2529" s="1"/>
      <c r="G2529" s="1"/>
      <c r="H2529" s="1"/>
      <c r="I2529" s="1"/>
      <c r="J2529" s="1"/>
      <c r="K2529" s="1"/>
    </row>
    <row r="2530" spans="1:11" ht="15">
      <c r="A2530" s="1"/>
      <c r="B2530" s="1"/>
      <c r="C2530" s="1"/>
      <c r="D2530" s="1"/>
      <c r="E2530" s="1"/>
      <c r="F2530" s="1"/>
      <c r="G2530" s="1"/>
      <c r="H2530" s="1"/>
      <c r="I2530" s="1"/>
      <c r="J2530" s="1"/>
      <c r="K2530" s="1"/>
    </row>
    <row r="2531" spans="1:11" ht="15">
      <c r="A2531" s="1"/>
      <c r="B2531" s="1"/>
      <c r="C2531" s="1"/>
      <c r="D2531" s="1"/>
      <c r="E2531" s="1"/>
      <c r="F2531" s="1"/>
      <c r="G2531" s="1"/>
      <c r="H2531" s="1"/>
      <c r="I2531" s="1"/>
      <c r="J2531" s="1"/>
      <c r="K2531" s="1"/>
    </row>
    <row r="2532" spans="1:11" ht="15">
      <c r="A2532" s="1"/>
      <c r="B2532" s="1"/>
      <c r="C2532" s="1"/>
      <c r="D2532" s="1"/>
      <c r="E2532" s="1"/>
      <c r="F2532" s="1"/>
      <c r="G2532" s="1"/>
      <c r="H2532" s="1"/>
      <c r="I2532" s="1"/>
      <c r="J2532" s="1"/>
      <c r="K2532" s="1"/>
    </row>
    <row r="2533" spans="1:11" ht="15">
      <c r="A2533" s="1"/>
      <c r="B2533" s="1"/>
      <c r="C2533" s="1"/>
      <c r="D2533" s="1"/>
      <c r="E2533" s="1"/>
      <c r="F2533" s="1"/>
      <c r="G2533" s="1"/>
      <c r="H2533" s="1"/>
      <c r="I2533" s="1"/>
      <c r="J2533" s="1"/>
      <c r="K2533" s="1"/>
    </row>
    <row r="2534" spans="1:11" ht="15">
      <c r="A2534" s="1"/>
      <c r="B2534" s="1"/>
      <c r="C2534" s="1"/>
      <c r="D2534" s="1"/>
      <c r="E2534" s="1"/>
      <c r="F2534" s="1"/>
      <c r="G2534" s="1"/>
      <c r="H2534" s="1"/>
      <c r="I2534" s="1"/>
      <c r="J2534" s="1"/>
      <c r="K2534" s="1"/>
    </row>
    <row r="2535" spans="1:11" ht="15">
      <c r="A2535" s="1"/>
      <c r="B2535" s="1"/>
      <c r="C2535" s="1"/>
      <c r="D2535" s="1"/>
      <c r="E2535" s="1"/>
      <c r="F2535" s="1"/>
      <c r="G2535" s="1"/>
      <c r="H2535" s="1"/>
      <c r="I2535" s="1"/>
      <c r="J2535" s="1"/>
      <c r="K2535" s="1"/>
    </row>
    <row r="2536" spans="1:11" ht="15">
      <c r="A2536" s="1"/>
      <c r="B2536" s="1"/>
      <c r="C2536" s="1"/>
      <c r="D2536" s="1"/>
      <c r="E2536" s="1"/>
      <c r="F2536" s="1"/>
      <c r="G2536" s="1"/>
      <c r="H2536" s="1"/>
      <c r="I2536" s="1"/>
      <c r="J2536" s="1"/>
      <c r="K2536" s="1"/>
    </row>
    <row r="2537" spans="1:11" ht="15">
      <c r="A2537" s="1"/>
      <c r="B2537" s="1"/>
      <c r="C2537" s="1"/>
      <c r="D2537" s="1"/>
      <c r="E2537" s="1"/>
      <c r="F2537" s="1"/>
      <c r="G2537" s="1"/>
      <c r="H2537" s="1"/>
      <c r="I2537" s="1"/>
      <c r="J2537" s="1"/>
      <c r="K2537" s="1"/>
    </row>
    <row r="2538" spans="1:11" ht="15">
      <c r="A2538" s="1"/>
      <c r="B2538" s="1"/>
      <c r="C2538" s="1"/>
      <c r="D2538" s="1"/>
      <c r="E2538" s="1"/>
      <c r="F2538" s="1"/>
      <c r="G2538" s="1"/>
      <c r="H2538" s="1"/>
      <c r="I2538" s="1"/>
      <c r="J2538" s="1"/>
      <c r="K2538" s="1"/>
    </row>
    <row r="2539" spans="1:11" ht="15">
      <c r="A2539" s="1"/>
      <c r="B2539" s="1"/>
      <c r="C2539" s="1"/>
      <c r="D2539" s="1"/>
      <c r="E2539" s="1"/>
      <c r="F2539" s="1"/>
      <c r="G2539" s="1"/>
      <c r="H2539" s="1"/>
      <c r="I2539" s="1"/>
      <c r="J2539" s="1"/>
      <c r="K2539" s="1"/>
    </row>
    <row r="2540" spans="1:11" ht="15">
      <c r="A2540" s="1"/>
      <c r="B2540" s="1"/>
      <c r="C2540" s="1"/>
      <c r="D2540" s="1"/>
      <c r="E2540" s="1"/>
      <c r="F2540" s="1"/>
      <c r="G2540" s="1"/>
      <c r="H2540" s="1"/>
      <c r="I2540" s="1"/>
      <c r="J2540" s="1"/>
      <c r="K2540" s="1"/>
    </row>
    <row r="2541" spans="1:11" ht="15">
      <c r="A2541" s="1"/>
      <c r="B2541" s="1"/>
      <c r="C2541" s="1"/>
      <c r="D2541" s="1"/>
      <c r="E2541" s="1"/>
      <c r="F2541" s="1"/>
      <c r="G2541" s="1"/>
      <c r="H2541" s="1"/>
      <c r="I2541" s="1"/>
      <c r="J2541" s="1"/>
      <c r="K2541" s="1"/>
    </row>
  </sheetData>
  <mergeCells count="3">
    <mergeCell ref="A1:P1"/>
    <mergeCell ref="A70:I70"/>
    <mergeCell ref="R1:S1"/>
  </mergeCells>
  <pageMargins left="0.25" right="0.25" top="0.75" bottom="0.75" header="0.3" footer="0.3"/>
  <pageSetup paperSize="9"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3"/>
  <sheetViews>
    <sheetView workbookViewId="0">
      <selection activeCell="Q26" sqref="Q26"/>
    </sheetView>
  </sheetViews>
  <sheetFormatPr defaultColWidth="12.28515625" defaultRowHeight="12.75"/>
  <cols>
    <col min="1" max="1" width="3.5703125" style="375" customWidth="1"/>
    <col min="2" max="2" width="22.140625" style="375" customWidth="1"/>
    <col min="3" max="3" width="10.85546875" style="375" customWidth="1"/>
    <col min="4" max="4" width="9.5703125" style="375" customWidth="1"/>
    <col min="5" max="5" width="9" style="375" customWidth="1"/>
    <col min="6" max="6" width="9.5703125" style="375" customWidth="1"/>
    <col min="7" max="7" width="9.140625" style="375" customWidth="1"/>
    <col min="8" max="8" width="5.85546875" style="375" customWidth="1"/>
    <col min="9" max="9" width="10.42578125" style="375" customWidth="1"/>
    <col min="10" max="10" width="9.42578125" style="375" customWidth="1"/>
    <col min="11" max="11" width="8.42578125" style="375" customWidth="1"/>
    <col min="12" max="12" width="9.7109375" style="375" customWidth="1"/>
    <col min="13" max="13" width="10.7109375" style="375" customWidth="1"/>
    <col min="14" max="14" width="5.7109375" style="375" customWidth="1"/>
    <col min="15" max="15" width="9.28515625" style="375" customWidth="1"/>
    <col min="16" max="16" width="8.7109375" style="375" customWidth="1"/>
    <col min="17" max="16384" width="12.28515625" style="375"/>
  </cols>
  <sheetData>
    <row r="1" spans="1:16" ht="15" customHeight="1">
      <c r="A1" s="377" t="s">
        <v>201</v>
      </c>
      <c r="B1" s="378"/>
      <c r="C1" s="379"/>
      <c r="D1" s="379"/>
      <c r="E1" s="379"/>
      <c r="F1" s="380"/>
      <c r="G1" s="380"/>
      <c r="H1" s="379"/>
      <c r="I1" s="381"/>
      <c r="J1" s="381"/>
      <c r="K1" s="381"/>
      <c r="L1" s="381"/>
      <c r="M1" s="381"/>
      <c r="N1" s="381"/>
      <c r="O1" s="382"/>
      <c r="P1" s="382"/>
    </row>
    <row r="2" spans="1:16" ht="12.75" customHeight="1">
      <c r="A2" s="957" t="s">
        <v>793</v>
      </c>
      <c r="B2" s="957"/>
      <c r="C2" s="957"/>
      <c r="D2" s="957"/>
      <c r="E2" s="957"/>
      <c r="F2" s="957"/>
      <c r="G2" s="957"/>
      <c r="H2" s="957"/>
      <c r="I2" s="957"/>
      <c r="J2" s="957"/>
      <c r="K2" s="957"/>
      <c r="L2" s="957"/>
      <c r="M2" s="957"/>
      <c r="N2" s="957"/>
      <c r="O2" s="957"/>
      <c r="P2" s="957"/>
    </row>
    <row r="3" spans="1:16" ht="11.25" customHeight="1" thickBot="1">
      <c r="A3" s="380"/>
      <c r="B3" s="380"/>
      <c r="C3" s="379"/>
      <c r="D3" s="379"/>
      <c r="E3" s="379"/>
      <c r="F3" s="380"/>
      <c r="G3" s="380"/>
      <c r="H3" s="379"/>
      <c r="I3" s="381"/>
      <c r="J3" s="381"/>
      <c r="K3" s="381"/>
      <c r="L3" s="381"/>
      <c r="M3" s="381"/>
      <c r="N3" s="381"/>
      <c r="O3" s="382"/>
      <c r="P3" s="382"/>
    </row>
    <row r="4" spans="1:16" ht="12" customHeight="1">
      <c r="A4" s="968" t="s">
        <v>177</v>
      </c>
      <c r="B4" s="971" t="s">
        <v>178</v>
      </c>
      <c r="C4" s="945" t="s">
        <v>794</v>
      </c>
      <c r="D4" s="945"/>
      <c r="E4" s="945"/>
      <c r="F4" s="945"/>
      <c r="G4" s="945"/>
      <c r="H4" s="946"/>
      <c r="I4" s="949" t="s">
        <v>795</v>
      </c>
      <c r="J4" s="950"/>
      <c r="K4" s="950"/>
      <c r="L4" s="950"/>
      <c r="M4" s="950"/>
      <c r="N4" s="950"/>
      <c r="O4" s="978" t="s">
        <v>677</v>
      </c>
      <c r="P4" s="979"/>
    </row>
    <row r="5" spans="1:16" ht="12" customHeight="1" thickBot="1">
      <c r="A5" s="969"/>
      <c r="B5" s="972"/>
      <c r="C5" s="947"/>
      <c r="D5" s="947"/>
      <c r="E5" s="947"/>
      <c r="F5" s="947"/>
      <c r="G5" s="947"/>
      <c r="H5" s="948"/>
      <c r="I5" s="951"/>
      <c r="J5" s="952"/>
      <c r="K5" s="952"/>
      <c r="L5" s="952"/>
      <c r="M5" s="952"/>
      <c r="N5" s="952"/>
      <c r="O5" s="980"/>
      <c r="P5" s="941"/>
    </row>
    <row r="6" spans="1:16" ht="12" customHeight="1">
      <c r="A6" s="969"/>
      <c r="B6" s="972"/>
      <c r="C6" s="964" t="s">
        <v>203</v>
      </c>
      <c r="D6" s="966" t="s">
        <v>204</v>
      </c>
      <c r="E6" s="943" t="s">
        <v>205</v>
      </c>
      <c r="F6" s="958" t="s">
        <v>8</v>
      </c>
      <c r="G6" s="960" t="s">
        <v>10</v>
      </c>
      <c r="H6" s="962" t="s">
        <v>680</v>
      </c>
      <c r="I6" s="974"/>
      <c r="J6" s="966"/>
      <c r="K6" s="943"/>
      <c r="L6" s="976"/>
      <c r="M6" s="953"/>
      <c r="N6" s="943" t="s">
        <v>680</v>
      </c>
      <c r="O6" s="980" t="s">
        <v>678</v>
      </c>
      <c r="P6" s="941" t="s">
        <v>679</v>
      </c>
    </row>
    <row r="7" spans="1:16" ht="23.25" customHeight="1" thickBot="1">
      <c r="A7" s="970"/>
      <c r="B7" s="973"/>
      <c r="C7" s="965"/>
      <c r="D7" s="967"/>
      <c r="E7" s="944"/>
      <c r="F7" s="959"/>
      <c r="G7" s="961"/>
      <c r="H7" s="963"/>
      <c r="I7" s="975"/>
      <c r="J7" s="967"/>
      <c r="K7" s="944"/>
      <c r="L7" s="977"/>
      <c r="M7" s="954"/>
      <c r="N7" s="944"/>
      <c r="O7" s="981"/>
      <c r="P7" s="942"/>
    </row>
    <row r="8" spans="1:16" ht="12" customHeight="1">
      <c r="A8" s="383" t="s">
        <v>162</v>
      </c>
      <c r="B8" s="384" t="s">
        <v>179</v>
      </c>
      <c r="C8" s="385">
        <v>34866579</v>
      </c>
      <c r="D8" s="386">
        <v>34542445</v>
      </c>
      <c r="E8" s="387">
        <f>C8-D8</f>
        <v>324134</v>
      </c>
      <c r="F8" s="388">
        <v>0</v>
      </c>
      <c r="G8" s="389">
        <v>-324134</v>
      </c>
      <c r="H8" s="89">
        <f>E8+F8+G8</f>
        <v>0</v>
      </c>
      <c r="I8" s="390"/>
      <c r="J8" s="391"/>
      <c r="K8" s="392"/>
      <c r="L8" s="393"/>
      <c r="M8" s="87"/>
      <c r="N8" s="392">
        <f>K8+L8+M8</f>
        <v>0</v>
      </c>
      <c r="O8" s="394">
        <f>I8/C8*100</f>
        <v>0</v>
      </c>
      <c r="P8" s="395">
        <f>J8/D8*100</f>
        <v>0</v>
      </c>
    </row>
    <row r="9" spans="1:16" ht="12" customHeight="1">
      <c r="A9" s="383" t="s">
        <v>163</v>
      </c>
      <c r="B9" s="396" t="s">
        <v>180</v>
      </c>
      <c r="C9" s="397">
        <v>56797215</v>
      </c>
      <c r="D9" s="398">
        <v>50688368</v>
      </c>
      <c r="E9" s="387">
        <f t="shared" ref="E9:E27" si="0">C9-D9</f>
        <v>6108847</v>
      </c>
      <c r="F9" s="399">
        <v>6619459</v>
      </c>
      <c r="G9" s="400">
        <v>-12728306</v>
      </c>
      <c r="H9" s="89">
        <f t="shared" ref="H9:H29" si="1">E9+F9+G9</f>
        <v>0</v>
      </c>
      <c r="I9" s="401"/>
      <c r="J9" s="402"/>
      <c r="K9" s="403"/>
      <c r="L9" s="404"/>
      <c r="M9" s="91"/>
      <c r="N9" s="403">
        <f t="shared" ref="N9:N27" si="2">K9+L9+M9</f>
        <v>0</v>
      </c>
      <c r="O9" s="405">
        <f t="shared" ref="O9:P29" si="3">I9/C9*100</f>
        <v>0</v>
      </c>
      <c r="P9" s="406">
        <f t="shared" si="3"/>
        <v>0</v>
      </c>
    </row>
    <row r="10" spans="1:16" ht="12" customHeight="1">
      <c r="A10" s="383" t="s">
        <v>164</v>
      </c>
      <c r="B10" s="396" t="s">
        <v>181</v>
      </c>
      <c r="C10" s="397">
        <v>76477196</v>
      </c>
      <c r="D10" s="398">
        <v>73294633</v>
      </c>
      <c r="E10" s="387">
        <f t="shared" si="0"/>
        <v>3182563</v>
      </c>
      <c r="F10" s="399">
        <v>7000000</v>
      </c>
      <c r="G10" s="400">
        <v>-10182563</v>
      </c>
      <c r="H10" s="89">
        <f t="shared" si="1"/>
        <v>0</v>
      </c>
      <c r="I10" s="401"/>
      <c r="J10" s="402"/>
      <c r="K10" s="403"/>
      <c r="L10" s="404"/>
      <c r="M10" s="91"/>
      <c r="N10" s="403">
        <f t="shared" si="2"/>
        <v>0</v>
      </c>
      <c r="O10" s="405">
        <f t="shared" si="3"/>
        <v>0</v>
      </c>
      <c r="P10" s="406">
        <f t="shared" si="3"/>
        <v>0</v>
      </c>
    </row>
    <row r="11" spans="1:16" ht="12" customHeight="1">
      <c r="A11" s="383" t="s">
        <v>165</v>
      </c>
      <c r="B11" s="407" t="s">
        <v>182</v>
      </c>
      <c r="C11" s="397">
        <v>43414395</v>
      </c>
      <c r="D11" s="398">
        <v>42636030</v>
      </c>
      <c r="E11" s="387">
        <f t="shared" si="0"/>
        <v>778365</v>
      </c>
      <c r="F11" s="399">
        <v>3400000</v>
      </c>
      <c r="G11" s="400">
        <v>-4178365</v>
      </c>
      <c r="H11" s="89">
        <f t="shared" si="1"/>
        <v>0</v>
      </c>
      <c r="I11" s="401"/>
      <c r="J11" s="402"/>
      <c r="K11" s="403"/>
      <c r="L11" s="404"/>
      <c r="M11" s="91"/>
      <c r="N11" s="403">
        <f t="shared" si="2"/>
        <v>0</v>
      </c>
      <c r="O11" s="405">
        <f t="shared" si="3"/>
        <v>0</v>
      </c>
      <c r="P11" s="406">
        <f t="shared" si="3"/>
        <v>0</v>
      </c>
    </row>
    <row r="12" spans="1:16" ht="12" customHeight="1">
      <c r="A12" s="383" t="s">
        <v>166</v>
      </c>
      <c r="B12" s="408" t="s">
        <v>183</v>
      </c>
      <c r="C12" s="397">
        <v>53058658</v>
      </c>
      <c r="D12" s="398">
        <v>51947457</v>
      </c>
      <c r="E12" s="387">
        <f t="shared" si="0"/>
        <v>1111201</v>
      </c>
      <c r="F12" s="399">
        <v>4300000</v>
      </c>
      <c r="G12" s="400">
        <v>-5411201</v>
      </c>
      <c r="H12" s="89">
        <f t="shared" si="1"/>
        <v>0</v>
      </c>
      <c r="I12" s="401"/>
      <c r="J12" s="402"/>
      <c r="K12" s="403"/>
      <c r="L12" s="404"/>
      <c r="M12" s="91"/>
      <c r="N12" s="403">
        <f t="shared" si="2"/>
        <v>0</v>
      </c>
      <c r="O12" s="405">
        <f t="shared" si="3"/>
        <v>0</v>
      </c>
      <c r="P12" s="406">
        <f t="shared" si="3"/>
        <v>0</v>
      </c>
    </row>
    <row r="13" spans="1:16" ht="12" customHeight="1" thickBot="1">
      <c r="A13" s="383" t="s">
        <v>167</v>
      </c>
      <c r="B13" s="409" t="s">
        <v>184</v>
      </c>
      <c r="C13" s="397">
        <v>34341007</v>
      </c>
      <c r="D13" s="398">
        <v>31713728</v>
      </c>
      <c r="E13" s="410">
        <f t="shared" si="0"/>
        <v>2627279</v>
      </c>
      <c r="F13" s="399">
        <v>2385321</v>
      </c>
      <c r="G13" s="400">
        <v>-5012600</v>
      </c>
      <c r="H13" s="89">
        <f t="shared" si="1"/>
        <v>0</v>
      </c>
      <c r="I13" s="401"/>
      <c r="J13" s="402"/>
      <c r="K13" s="403"/>
      <c r="L13" s="404"/>
      <c r="M13" s="91"/>
      <c r="N13" s="403">
        <f t="shared" si="2"/>
        <v>0</v>
      </c>
      <c r="O13" s="405">
        <f t="shared" si="3"/>
        <v>0</v>
      </c>
      <c r="P13" s="406">
        <f t="shared" si="3"/>
        <v>0</v>
      </c>
    </row>
    <row r="14" spans="1:16" ht="12" customHeight="1">
      <c r="A14" s="383" t="s">
        <v>168</v>
      </c>
      <c r="B14" s="407" t="s">
        <v>185</v>
      </c>
      <c r="C14" s="397">
        <v>23527201</v>
      </c>
      <c r="D14" s="398">
        <v>23509638</v>
      </c>
      <c r="E14" s="411">
        <f t="shared" si="0"/>
        <v>17563</v>
      </c>
      <c r="F14" s="397">
        <v>450000</v>
      </c>
      <c r="G14" s="400">
        <v>-467563</v>
      </c>
      <c r="H14" s="89">
        <f t="shared" si="1"/>
        <v>0</v>
      </c>
      <c r="I14" s="401"/>
      <c r="J14" s="402"/>
      <c r="K14" s="403"/>
      <c r="L14" s="404"/>
      <c r="M14" s="91"/>
      <c r="N14" s="403">
        <f t="shared" si="2"/>
        <v>0</v>
      </c>
      <c r="O14" s="405">
        <f t="shared" si="3"/>
        <v>0</v>
      </c>
      <c r="P14" s="406">
        <f t="shared" si="3"/>
        <v>0</v>
      </c>
    </row>
    <row r="15" spans="1:16" ht="12" customHeight="1" thickBot="1">
      <c r="A15" s="383" t="s">
        <v>169</v>
      </c>
      <c r="B15" s="409" t="s">
        <v>186</v>
      </c>
      <c r="C15" s="397">
        <v>28571023</v>
      </c>
      <c r="D15" s="398">
        <v>28027293</v>
      </c>
      <c r="E15" s="387">
        <f t="shared" si="0"/>
        <v>543730</v>
      </c>
      <c r="F15" s="397">
        <v>4195120</v>
      </c>
      <c r="G15" s="400">
        <v>-4738850</v>
      </c>
      <c r="H15" s="133">
        <f t="shared" si="1"/>
        <v>0</v>
      </c>
      <c r="I15" s="401"/>
      <c r="J15" s="402"/>
      <c r="K15" s="403"/>
      <c r="L15" s="404"/>
      <c r="M15" s="91"/>
      <c r="N15" s="403">
        <f t="shared" si="2"/>
        <v>0</v>
      </c>
      <c r="O15" s="405">
        <f t="shared" si="3"/>
        <v>0</v>
      </c>
      <c r="P15" s="406">
        <f t="shared" si="3"/>
        <v>0</v>
      </c>
    </row>
    <row r="16" spans="1:16" ht="12" customHeight="1">
      <c r="A16" s="383" t="s">
        <v>170</v>
      </c>
      <c r="B16" s="412" t="s">
        <v>187</v>
      </c>
      <c r="C16" s="397">
        <v>8604638</v>
      </c>
      <c r="D16" s="398">
        <v>8611351</v>
      </c>
      <c r="E16" s="387">
        <f t="shared" si="0"/>
        <v>-6713</v>
      </c>
      <c r="F16" s="397">
        <v>750563</v>
      </c>
      <c r="G16" s="398">
        <v>-743850</v>
      </c>
      <c r="H16" s="413">
        <f t="shared" si="1"/>
        <v>0</v>
      </c>
      <c r="I16" s="414"/>
      <c r="J16" s="402"/>
      <c r="K16" s="403"/>
      <c r="L16" s="404"/>
      <c r="M16" s="91"/>
      <c r="N16" s="403">
        <f t="shared" si="2"/>
        <v>0</v>
      </c>
      <c r="O16" s="405">
        <f t="shared" si="3"/>
        <v>0</v>
      </c>
      <c r="P16" s="406">
        <f t="shared" si="3"/>
        <v>0</v>
      </c>
    </row>
    <row r="17" spans="1:16" ht="12" customHeight="1">
      <c r="A17" s="383" t="s">
        <v>171</v>
      </c>
      <c r="B17" s="412" t="s">
        <v>188</v>
      </c>
      <c r="C17" s="397">
        <v>33518680</v>
      </c>
      <c r="D17" s="398">
        <v>33088680</v>
      </c>
      <c r="E17" s="387">
        <f t="shared" si="0"/>
        <v>430000</v>
      </c>
      <c r="F17" s="397">
        <v>1430000</v>
      </c>
      <c r="G17" s="398">
        <v>-1860000</v>
      </c>
      <c r="H17" s="88">
        <f t="shared" si="1"/>
        <v>0</v>
      </c>
      <c r="I17" s="414"/>
      <c r="J17" s="402"/>
      <c r="K17" s="403"/>
      <c r="L17" s="404"/>
      <c r="M17" s="91"/>
      <c r="N17" s="403">
        <f t="shared" si="2"/>
        <v>0</v>
      </c>
      <c r="O17" s="405">
        <f t="shared" si="3"/>
        <v>0</v>
      </c>
      <c r="P17" s="406">
        <f t="shared" si="3"/>
        <v>0</v>
      </c>
    </row>
    <row r="18" spans="1:16" ht="12" customHeight="1">
      <c r="A18" s="383" t="s">
        <v>172</v>
      </c>
      <c r="B18" s="412" t="s">
        <v>189</v>
      </c>
      <c r="C18" s="397">
        <v>32760623</v>
      </c>
      <c r="D18" s="398">
        <v>32169503</v>
      </c>
      <c r="E18" s="387">
        <f t="shared" si="0"/>
        <v>591120</v>
      </c>
      <c r="F18" s="397">
        <v>11607977</v>
      </c>
      <c r="G18" s="398">
        <v>-12199097</v>
      </c>
      <c r="H18" s="88">
        <f t="shared" si="1"/>
        <v>0</v>
      </c>
      <c r="I18" s="414"/>
      <c r="J18" s="402"/>
      <c r="K18" s="403"/>
      <c r="L18" s="404"/>
      <c r="M18" s="91"/>
      <c r="N18" s="403">
        <f t="shared" si="2"/>
        <v>0</v>
      </c>
      <c r="O18" s="405">
        <f t="shared" si="3"/>
        <v>0</v>
      </c>
      <c r="P18" s="406">
        <f t="shared" si="3"/>
        <v>0</v>
      </c>
    </row>
    <row r="19" spans="1:16" ht="12" customHeight="1">
      <c r="A19" s="383" t="s">
        <v>173</v>
      </c>
      <c r="B19" s="412" t="s">
        <v>190</v>
      </c>
      <c r="C19" s="397">
        <v>34728724</v>
      </c>
      <c r="D19" s="398">
        <v>38948777</v>
      </c>
      <c r="E19" s="387">
        <f t="shared" si="0"/>
        <v>-4220053</v>
      </c>
      <c r="F19" s="397">
        <v>4887254</v>
      </c>
      <c r="G19" s="398">
        <v>-667201</v>
      </c>
      <c r="H19" s="88">
        <f t="shared" si="1"/>
        <v>0</v>
      </c>
      <c r="I19" s="414"/>
      <c r="J19" s="402"/>
      <c r="K19" s="403"/>
      <c r="L19" s="404"/>
      <c r="M19" s="91"/>
      <c r="N19" s="403">
        <f t="shared" si="2"/>
        <v>0</v>
      </c>
      <c r="O19" s="405">
        <f t="shared" si="3"/>
        <v>0</v>
      </c>
      <c r="P19" s="406">
        <f t="shared" si="3"/>
        <v>0</v>
      </c>
    </row>
    <row r="20" spans="1:16" ht="12" customHeight="1">
      <c r="A20" s="383" t="s">
        <v>174</v>
      </c>
      <c r="B20" s="412" t="s">
        <v>191</v>
      </c>
      <c r="C20" s="397">
        <v>16179108</v>
      </c>
      <c r="D20" s="398">
        <v>16160238</v>
      </c>
      <c r="E20" s="387">
        <f t="shared" si="0"/>
        <v>18870</v>
      </c>
      <c r="F20" s="397">
        <v>490000</v>
      </c>
      <c r="G20" s="398">
        <v>-508870</v>
      </c>
      <c r="H20" s="88">
        <f t="shared" si="1"/>
        <v>0</v>
      </c>
      <c r="I20" s="414"/>
      <c r="J20" s="402"/>
      <c r="K20" s="403"/>
      <c r="L20" s="404"/>
      <c r="M20" s="91"/>
      <c r="N20" s="403">
        <f t="shared" si="2"/>
        <v>0</v>
      </c>
      <c r="O20" s="405">
        <f t="shared" si="3"/>
        <v>0</v>
      </c>
      <c r="P20" s="406">
        <f t="shared" si="3"/>
        <v>0</v>
      </c>
    </row>
    <row r="21" spans="1:16" ht="12" customHeight="1">
      <c r="A21" s="383" t="s">
        <v>175</v>
      </c>
      <c r="B21" s="412" t="s">
        <v>192</v>
      </c>
      <c r="C21" s="397">
        <v>6757554</v>
      </c>
      <c r="D21" s="398">
        <v>6757554</v>
      </c>
      <c r="E21" s="387">
        <f t="shared" si="0"/>
        <v>0</v>
      </c>
      <c r="F21" s="397">
        <v>0</v>
      </c>
      <c r="G21" s="398">
        <v>0</v>
      </c>
      <c r="H21" s="88">
        <f t="shared" si="1"/>
        <v>0</v>
      </c>
      <c r="I21" s="414"/>
      <c r="J21" s="402"/>
      <c r="K21" s="403"/>
      <c r="L21" s="404"/>
      <c r="M21" s="91"/>
      <c r="N21" s="403">
        <f t="shared" si="2"/>
        <v>0</v>
      </c>
      <c r="O21" s="405">
        <f t="shared" si="3"/>
        <v>0</v>
      </c>
      <c r="P21" s="406">
        <f t="shared" si="3"/>
        <v>0</v>
      </c>
    </row>
    <row r="22" spans="1:16" ht="12" customHeight="1">
      <c r="A22" s="383" t="s">
        <v>176</v>
      </c>
      <c r="B22" s="412" t="s">
        <v>194</v>
      </c>
      <c r="C22" s="397">
        <v>8473750</v>
      </c>
      <c r="D22" s="398">
        <v>8383396</v>
      </c>
      <c r="E22" s="387">
        <f t="shared" si="0"/>
        <v>90354</v>
      </c>
      <c r="F22" s="397">
        <v>551590</v>
      </c>
      <c r="G22" s="398">
        <v>-641944</v>
      </c>
      <c r="H22" s="88">
        <f t="shared" si="1"/>
        <v>0</v>
      </c>
      <c r="I22" s="414"/>
      <c r="J22" s="402"/>
      <c r="K22" s="403"/>
      <c r="L22" s="404"/>
      <c r="M22" s="91"/>
      <c r="N22" s="403">
        <f t="shared" si="2"/>
        <v>0</v>
      </c>
      <c r="O22" s="405">
        <f t="shared" si="3"/>
        <v>0</v>
      </c>
      <c r="P22" s="406">
        <f t="shared" si="3"/>
        <v>0</v>
      </c>
    </row>
    <row r="23" spans="1:16" ht="12" customHeight="1" thickBot="1">
      <c r="A23" s="383" t="s">
        <v>193</v>
      </c>
      <c r="B23" s="412" t="s">
        <v>196</v>
      </c>
      <c r="C23" s="397">
        <v>13230459</v>
      </c>
      <c r="D23" s="398">
        <v>13521979</v>
      </c>
      <c r="E23" s="387">
        <f t="shared" si="0"/>
        <v>-291520</v>
      </c>
      <c r="F23" s="397">
        <v>3834326</v>
      </c>
      <c r="G23" s="398">
        <v>-3542806</v>
      </c>
      <c r="H23" s="88">
        <f t="shared" si="1"/>
        <v>0</v>
      </c>
      <c r="I23" s="414"/>
      <c r="J23" s="402"/>
      <c r="K23" s="403"/>
      <c r="L23" s="404"/>
      <c r="M23" s="91"/>
      <c r="N23" s="415">
        <f t="shared" si="2"/>
        <v>0</v>
      </c>
      <c r="O23" s="405">
        <f t="shared" si="3"/>
        <v>0</v>
      </c>
      <c r="P23" s="406">
        <f t="shared" si="3"/>
        <v>0</v>
      </c>
    </row>
    <row r="24" spans="1:16" ht="12" customHeight="1">
      <c r="A24" s="383" t="s">
        <v>195</v>
      </c>
      <c r="B24" s="412" t="s">
        <v>160</v>
      </c>
      <c r="C24" s="397">
        <v>60330019</v>
      </c>
      <c r="D24" s="398">
        <v>67937196</v>
      </c>
      <c r="E24" s="387">
        <f t="shared" si="0"/>
        <v>-7607177</v>
      </c>
      <c r="F24" s="397">
        <v>25953000</v>
      </c>
      <c r="G24" s="398">
        <v>-18345823</v>
      </c>
      <c r="H24" s="88">
        <f>E24+F24+G24</f>
        <v>0</v>
      </c>
      <c r="I24" s="414"/>
      <c r="J24" s="402"/>
      <c r="K24" s="403"/>
      <c r="L24" s="404"/>
      <c r="M24" s="91"/>
      <c r="N24" s="416">
        <f t="shared" si="2"/>
        <v>0</v>
      </c>
      <c r="O24" s="417">
        <f t="shared" si="3"/>
        <v>0</v>
      </c>
      <c r="P24" s="406">
        <f t="shared" si="3"/>
        <v>0</v>
      </c>
    </row>
    <row r="25" spans="1:16" ht="12" customHeight="1">
      <c r="A25" s="383" t="s">
        <v>197</v>
      </c>
      <c r="B25" s="412" t="s">
        <v>159</v>
      </c>
      <c r="C25" s="397">
        <v>8323983</v>
      </c>
      <c r="D25" s="398">
        <v>8221213</v>
      </c>
      <c r="E25" s="387">
        <f t="shared" si="0"/>
        <v>102770</v>
      </c>
      <c r="F25" s="397">
        <v>10300</v>
      </c>
      <c r="G25" s="398">
        <v>-113070</v>
      </c>
      <c r="H25" s="88">
        <f t="shared" si="1"/>
        <v>0</v>
      </c>
      <c r="I25" s="414"/>
      <c r="J25" s="402"/>
      <c r="K25" s="403"/>
      <c r="L25" s="404"/>
      <c r="M25" s="91"/>
      <c r="N25" s="403">
        <f t="shared" si="2"/>
        <v>0</v>
      </c>
      <c r="O25" s="418">
        <f t="shared" si="3"/>
        <v>0</v>
      </c>
      <c r="P25" s="419">
        <f t="shared" si="3"/>
        <v>0</v>
      </c>
    </row>
    <row r="26" spans="1:16" ht="12" customHeight="1">
      <c r="A26" s="383" t="s">
        <v>199</v>
      </c>
      <c r="B26" s="412" t="s">
        <v>198</v>
      </c>
      <c r="C26" s="397">
        <v>39730000</v>
      </c>
      <c r="D26" s="398">
        <v>39730000</v>
      </c>
      <c r="E26" s="387">
        <f t="shared" si="0"/>
        <v>0</v>
      </c>
      <c r="F26" s="397"/>
      <c r="G26" s="398"/>
      <c r="H26" s="88">
        <f t="shared" si="1"/>
        <v>0</v>
      </c>
      <c r="I26" s="414"/>
      <c r="J26" s="402"/>
      <c r="K26" s="403"/>
      <c r="L26" s="404"/>
      <c r="M26" s="91"/>
      <c r="N26" s="403">
        <f t="shared" si="2"/>
        <v>0</v>
      </c>
      <c r="O26" s="418">
        <f t="shared" si="3"/>
        <v>0</v>
      </c>
      <c r="P26" s="419">
        <f t="shared" si="3"/>
        <v>0</v>
      </c>
    </row>
    <row r="27" spans="1:16" ht="12" customHeight="1">
      <c r="A27" s="420" t="s">
        <v>200</v>
      </c>
      <c r="B27" s="421" t="s">
        <v>707</v>
      </c>
      <c r="C27" s="422">
        <v>5717087</v>
      </c>
      <c r="D27" s="422">
        <v>5689531</v>
      </c>
      <c r="E27" s="422">
        <f t="shared" si="0"/>
        <v>27556</v>
      </c>
      <c r="F27" s="422">
        <v>22444</v>
      </c>
      <c r="G27" s="422">
        <v>-50000</v>
      </c>
      <c r="H27" s="133">
        <f t="shared" si="1"/>
        <v>0</v>
      </c>
      <c r="I27" s="423"/>
      <c r="J27" s="424"/>
      <c r="K27" s="415"/>
      <c r="L27" s="425"/>
      <c r="M27" s="426"/>
      <c r="N27" s="415">
        <f t="shared" si="2"/>
        <v>0</v>
      </c>
      <c r="O27" s="427">
        <v>0</v>
      </c>
      <c r="P27" s="428">
        <v>0</v>
      </c>
    </row>
    <row r="28" spans="1:16" ht="12.75" customHeight="1" thickBot="1">
      <c r="A28" s="429" t="s">
        <v>796</v>
      </c>
      <c r="B28" s="430" t="s">
        <v>797</v>
      </c>
      <c r="C28" s="431"/>
      <c r="D28" s="432"/>
      <c r="E28" s="433"/>
      <c r="F28" s="434"/>
      <c r="G28" s="435"/>
      <c r="H28" s="436"/>
      <c r="I28" s="414"/>
      <c r="J28" s="437"/>
      <c r="K28" s="437"/>
      <c r="L28" s="376"/>
      <c r="M28" s="91"/>
      <c r="N28" s="438"/>
      <c r="O28" s="418"/>
      <c r="P28" s="419"/>
    </row>
    <row r="29" spans="1:16" ht="11.25" customHeight="1" thickBot="1">
      <c r="A29" s="955" t="s">
        <v>161</v>
      </c>
      <c r="B29" s="956"/>
      <c r="C29" s="439">
        <f>SUM(C8:C27)</f>
        <v>619407899</v>
      </c>
      <c r="D29" s="440">
        <f>SUM(D8:D27)</f>
        <v>615579010</v>
      </c>
      <c r="E29" s="441">
        <f>SUM(E8:E27)</f>
        <v>3828889</v>
      </c>
      <c r="F29" s="442">
        <f>SUM(F8:F27)</f>
        <v>77887354</v>
      </c>
      <c r="G29" s="443">
        <f>SUM(G8:G27)</f>
        <v>-81716243</v>
      </c>
      <c r="H29" s="444">
        <f t="shared" si="1"/>
        <v>0</v>
      </c>
      <c r="I29" s="439">
        <f t="shared" ref="I29:N29" si="4">SUM(I8:I27)</f>
        <v>0</v>
      </c>
      <c r="J29" s="440">
        <f t="shared" si="4"/>
        <v>0</v>
      </c>
      <c r="K29" s="441">
        <f t="shared" si="4"/>
        <v>0</v>
      </c>
      <c r="L29" s="439">
        <f t="shared" si="4"/>
        <v>0</v>
      </c>
      <c r="M29" s="440">
        <f t="shared" si="4"/>
        <v>0</v>
      </c>
      <c r="N29" s="441">
        <f t="shared" si="4"/>
        <v>0</v>
      </c>
      <c r="O29" s="445">
        <f t="shared" si="3"/>
        <v>0</v>
      </c>
      <c r="P29" s="446">
        <f t="shared" si="3"/>
        <v>0</v>
      </c>
    </row>
    <row r="30" spans="1:16" ht="11.25" customHeight="1">
      <c r="A30" s="447"/>
      <c r="B30" s="447"/>
      <c r="C30" s="448"/>
      <c r="D30" s="448"/>
      <c r="E30" s="448"/>
      <c r="F30" s="448"/>
      <c r="G30" s="448"/>
      <c r="H30" s="448"/>
      <c r="I30" s="449"/>
      <c r="J30" s="450"/>
      <c r="K30" s="450"/>
      <c r="L30" s="450"/>
      <c r="M30" s="450"/>
      <c r="N30" s="450"/>
      <c r="O30" s="451"/>
      <c r="P30" s="451"/>
    </row>
    <row r="31" spans="1:16">
      <c r="A31" s="447"/>
      <c r="B31" s="447" t="s">
        <v>798</v>
      </c>
      <c r="C31" s="448">
        <f t="shared" ref="C31:P31" si="5">C20+C21+C22+C23+C24</f>
        <v>104970890</v>
      </c>
      <c r="D31" s="448">
        <f t="shared" si="5"/>
        <v>112760363</v>
      </c>
      <c r="E31" s="448">
        <f t="shared" si="5"/>
        <v>-7789473</v>
      </c>
      <c r="F31" s="448">
        <f t="shared" si="5"/>
        <v>30828916</v>
      </c>
      <c r="G31" s="448">
        <f t="shared" si="5"/>
        <v>-23039443</v>
      </c>
      <c r="H31" s="448">
        <f t="shared" si="5"/>
        <v>0</v>
      </c>
      <c r="I31" s="448">
        <f t="shared" si="5"/>
        <v>0</v>
      </c>
      <c r="J31" s="448">
        <f t="shared" si="5"/>
        <v>0</v>
      </c>
      <c r="K31" s="448">
        <f t="shared" si="5"/>
        <v>0</v>
      </c>
      <c r="L31" s="448">
        <f t="shared" si="5"/>
        <v>0</v>
      </c>
      <c r="M31" s="448">
        <f t="shared" si="5"/>
        <v>0</v>
      </c>
      <c r="N31" s="448">
        <f t="shared" si="5"/>
        <v>0</v>
      </c>
      <c r="O31" s="448">
        <f t="shared" si="5"/>
        <v>0</v>
      </c>
      <c r="P31" s="448">
        <f t="shared" si="5"/>
        <v>0</v>
      </c>
    </row>
    <row r="32" spans="1:16" ht="11.25" customHeight="1">
      <c r="A32" s="381"/>
      <c r="B32" s="381" t="s">
        <v>799</v>
      </c>
      <c r="C32" s="449">
        <f t="shared" ref="C32:P32" si="6">C29-C26</f>
        <v>579677899</v>
      </c>
      <c r="D32" s="449">
        <f t="shared" si="6"/>
        <v>575849010</v>
      </c>
      <c r="E32" s="449">
        <f t="shared" si="6"/>
        <v>3828889</v>
      </c>
      <c r="F32" s="449">
        <f t="shared" si="6"/>
        <v>77887354</v>
      </c>
      <c r="G32" s="449">
        <f t="shared" si="6"/>
        <v>-81716243</v>
      </c>
      <c r="H32" s="449">
        <f t="shared" si="6"/>
        <v>0</v>
      </c>
      <c r="I32" s="449">
        <f t="shared" si="6"/>
        <v>0</v>
      </c>
      <c r="J32" s="449">
        <f t="shared" si="6"/>
        <v>0</v>
      </c>
      <c r="K32" s="449">
        <f t="shared" si="6"/>
        <v>0</v>
      </c>
      <c r="L32" s="449">
        <f t="shared" si="6"/>
        <v>0</v>
      </c>
      <c r="M32" s="449">
        <f t="shared" si="6"/>
        <v>0</v>
      </c>
      <c r="N32" s="449">
        <f t="shared" si="6"/>
        <v>0</v>
      </c>
      <c r="O32" s="449">
        <f t="shared" si="6"/>
        <v>0</v>
      </c>
      <c r="P32" s="449">
        <f t="shared" si="6"/>
        <v>0</v>
      </c>
    </row>
    <row r="33" spans="1:16">
      <c r="A33" s="381"/>
      <c r="B33" s="381"/>
      <c r="C33" s="449"/>
      <c r="D33" s="449"/>
      <c r="E33" s="449"/>
      <c r="F33" s="449"/>
      <c r="G33" s="449"/>
      <c r="H33" s="450"/>
      <c r="I33" s="381"/>
      <c r="J33" s="381"/>
      <c r="K33" s="381"/>
      <c r="L33" s="381"/>
      <c r="M33" s="381"/>
      <c r="N33" s="381"/>
      <c r="O33" s="382"/>
      <c r="P33" s="382"/>
    </row>
  </sheetData>
  <mergeCells count="21">
    <mergeCell ref="A29:B29"/>
    <mergeCell ref="A2:P2"/>
    <mergeCell ref="F6:F7"/>
    <mergeCell ref="G6:G7"/>
    <mergeCell ref="H6:H7"/>
    <mergeCell ref="E6:E7"/>
    <mergeCell ref="C6:C7"/>
    <mergeCell ref="D6:D7"/>
    <mergeCell ref="A4:A7"/>
    <mergeCell ref="B4:B7"/>
    <mergeCell ref="I6:I7"/>
    <mergeCell ref="J6:J7"/>
    <mergeCell ref="K6:K7"/>
    <mergeCell ref="L6:L7"/>
    <mergeCell ref="O4:P5"/>
    <mergeCell ref="O6:O7"/>
    <mergeCell ref="P6:P7"/>
    <mergeCell ref="N6:N7"/>
    <mergeCell ref="C4:H5"/>
    <mergeCell ref="I4:N5"/>
    <mergeCell ref="M6:M7"/>
  </mergeCells>
  <pageMargins left="0.25" right="0.25" top="0.75" bottom="0.75" header="0.3" footer="0.3"/>
  <pageSetup paperSize="9" scale="95" orientation="landscape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X392"/>
  <sheetViews>
    <sheetView topLeftCell="A373" workbookViewId="0">
      <selection activeCell="AQ389" sqref="AQ389"/>
    </sheetView>
  </sheetViews>
  <sheetFormatPr defaultColWidth="11.140625" defaultRowHeight="12"/>
  <cols>
    <col min="1" max="1" width="11.5703125" style="847" bestFit="1" customWidth="1"/>
    <col min="2" max="2" width="9.140625" style="457" bestFit="1" customWidth="1"/>
    <col min="3" max="3" width="12" style="457" customWidth="1"/>
    <col min="4" max="4" width="10.7109375" style="458" customWidth="1"/>
    <col min="5" max="5" width="18.140625" style="458" customWidth="1"/>
    <col min="6" max="6" width="9" style="459" customWidth="1"/>
    <col min="7" max="7" width="13.28515625" style="452" hidden="1" customWidth="1"/>
    <col min="8" max="9" width="17.42578125" style="452" hidden="1" customWidth="1"/>
    <col min="10" max="42" width="13.28515625" style="455" hidden="1" customWidth="1"/>
    <col min="43" max="44" width="13.28515625" style="455" customWidth="1"/>
    <col min="45" max="45" width="15.28515625" style="455" customWidth="1"/>
    <col min="46" max="54" width="13.28515625" style="455" hidden="1" customWidth="1"/>
    <col min="55" max="56" width="14.42578125" style="455" hidden="1" customWidth="1"/>
    <col min="57" max="66" width="13.28515625" style="455" hidden="1" customWidth="1"/>
    <col min="67" max="67" width="14.42578125" style="455" hidden="1" customWidth="1"/>
    <col min="68" max="69" width="13.28515625" style="455" hidden="1" customWidth="1"/>
    <col min="70" max="70" width="14" style="455" hidden="1" customWidth="1"/>
    <col min="71" max="71" width="17.5703125" style="455" hidden="1" customWidth="1"/>
    <col min="72" max="72" width="14" style="455" hidden="1" customWidth="1"/>
    <col min="73" max="75" width="13.28515625" style="455" hidden="1" customWidth="1"/>
    <col min="76" max="76" width="13.42578125" style="455" bestFit="1" customWidth="1"/>
    <col min="77" max="78" width="11.7109375" style="455" bestFit="1" customWidth="1"/>
    <col min="79" max="16384" width="11.140625" style="455"/>
  </cols>
  <sheetData>
    <row r="1" spans="1:75" ht="11.25" customHeight="1">
      <c r="A1" s="1030" t="s">
        <v>201</v>
      </c>
      <c r="B1" s="1030"/>
      <c r="C1" s="1030"/>
      <c r="D1" s="1030"/>
      <c r="E1" s="1030"/>
      <c r="F1" s="1030"/>
      <c r="G1" s="1031"/>
      <c r="I1" s="453"/>
      <c r="J1" s="454"/>
    </row>
    <row r="2" spans="1:75" ht="11.25" customHeight="1">
      <c r="A2" s="456"/>
      <c r="I2" s="453"/>
      <c r="J2" s="454"/>
    </row>
    <row r="3" spans="1:75" ht="11.25" customHeight="1" thickBot="1">
      <c r="A3" s="1042" t="s">
        <v>800</v>
      </c>
      <c r="B3" s="1042"/>
      <c r="C3" s="1042"/>
      <c r="D3" s="1042"/>
      <c r="E3" s="1042"/>
      <c r="F3" s="1042"/>
      <c r="G3" s="1043"/>
    </row>
    <row r="4" spans="1:75" s="460" customFormat="1" ht="11.25" customHeight="1" thickBot="1">
      <c r="A4" s="1032" t="s">
        <v>49</v>
      </c>
      <c r="B4" s="1034" t="s">
        <v>704</v>
      </c>
      <c r="C4" s="1034" t="s">
        <v>202</v>
      </c>
      <c r="D4" s="1036" t="s">
        <v>100</v>
      </c>
      <c r="E4" s="1038" t="s">
        <v>705</v>
      </c>
      <c r="F4" s="1040" t="s">
        <v>706</v>
      </c>
      <c r="G4" s="1019" t="s">
        <v>780</v>
      </c>
      <c r="H4" s="1020"/>
      <c r="I4" s="1021"/>
      <c r="J4" s="1025" t="s">
        <v>160</v>
      </c>
      <c r="K4" s="1026"/>
      <c r="L4" s="1027"/>
      <c r="M4" s="1028" t="s">
        <v>191</v>
      </c>
      <c r="N4" s="1026"/>
      <c r="O4" s="1029"/>
      <c r="P4" s="1025" t="s">
        <v>192</v>
      </c>
      <c r="Q4" s="1026"/>
      <c r="R4" s="1026"/>
      <c r="S4" s="1026" t="s">
        <v>194</v>
      </c>
      <c r="T4" s="1026"/>
      <c r="U4" s="1026"/>
      <c r="V4" s="1026" t="s">
        <v>196</v>
      </c>
      <c r="W4" s="1026"/>
      <c r="X4" s="1027"/>
      <c r="Y4" s="1022" t="s">
        <v>767</v>
      </c>
      <c r="Z4" s="1023"/>
      <c r="AA4" s="1024"/>
      <c r="AB4" s="1020" t="s">
        <v>768</v>
      </c>
      <c r="AC4" s="1020"/>
      <c r="AD4" s="1020"/>
      <c r="AE4" s="1019" t="s">
        <v>769</v>
      </c>
      <c r="AF4" s="1020"/>
      <c r="AG4" s="1021"/>
      <c r="AH4" s="1020" t="s">
        <v>770</v>
      </c>
      <c r="AI4" s="1020"/>
      <c r="AJ4" s="1020"/>
      <c r="AK4" s="1019" t="s">
        <v>771</v>
      </c>
      <c r="AL4" s="1020"/>
      <c r="AM4" s="1021"/>
      <c r="AN4" s="1020" t="s">
        <v>772</v>
      </c>
      <c r="AO4" s="1020"/>
      <c r="AP4" s="1020"/>
      <c r="AQ4" s="1019" t="s">
        <v>773</v>
      </c>
      <c r="AR4" s="1020"/>
      <c r="AS4" s="1021"/>
      <c r="AT4" s="1020" t="s">
        <v>774</v>
      </c>
      <c r="AU4" s="1020"/>
      <c r="AV4" s="1020"/>
      <c r="AW4" s="1019" t="s">
        <v>775</v>
      </c>
      <c r="AX4" s="1020"/>
      <c r="AY4" s="1021"/>
      <c r="AZ4" s="993" t="s">
        <v>776</v>
      </c>
      <c r="BA4" s="994"/>
      <c r="BB4" s="995"/>
      <c r="BC4" s="1019" t="s">
        <v>779</v>
      </c>
      <c r="BD4" s="1020"/>
      <c r="BE4" s="1021"/>
      <c r="BF4" s="1020" t="s">
        <v>777</v>
      </c>
      <c r="BG4" s="1020"/>
      <c r="BH4" s="1020"/>
      <c r="BI4" s="1019" t="s">
        <v>801</v>
      </c>
      <c r="BJ4" s="1020"/>
      <c r="BK4" s="1021"/>
      <c r="BL4" s="1020" t="s">
        <v>778</v>
      </c>
      <c r="BM4" s="1020"/>
      <c r="BN4" s="1020"/>
      <c r="BO4" s="996" t="s">
        <v>159</v>
      </c>
      <c r="BP4" s="994"/>
      <c r="BQ4" s="997"/>
      <c r="BR4" s="993" t="s">
        <v>802</v>
      </c>
      <c r="BS4" s="994"/>
      <c r="BT4" s="995"/>
      <c r="BU4" s="996" t="s">
        <v>803</v>
      </c>
      <c r="BV4" s="994"/>
      <c r="BW4" s="997"/>
    </row>
    <row r="5" spans="1:75" s="469" customFormat="1" ht="21" customHeight="1" thickBot="1">
      <c r="A5" s="1033"/>
      <c r="B5" s="1035"/>
      <c r="C5" s="1035"/>
      <c r="D5" s="1037"/>
      <c r="E5" s="1039"/>
      <c r="F5" s="1041"/>
      <c r="G5" s="461" t="s">
        <v>804</v>
      </c>
      <c r="H5" s="462" t="s">
        <v>805</v>
      </c>
      <c r="I5" s="463" t="s">
        <v>806</v>
      </c>
      <c r="J5" s="464" t="s">
        <v>804</v>
      </c>
      <c r="K5" s="462" t="s">
        <v>805</v>
      </c>
      <c r="L5" s="465" t="s">
        <v>806</v>
      </c>
      <c r="M5" s="461" t="s">
        <v>804</v>
      </c>
      <c r="N5" s="462" t="s">
        <v>805</v>
      </c>
      <c r="O5" s="463" t="s">
        <v>806</v>
      </c>
      <c r="P5" s="464" t="s">
        <v>804</v>
      </c>
      <c r="Q5" s="462" t="s">
        <v>805</v>
      </c>
      <c r="R5" s="465" t="s">
        <v>806</v>
      </c>
      <c r="S5" s="466" t="s">
        <v>804</v>
      </c>
      <c r="T5" s="467" t="s">
        <v>805</v>
      </c>
      <c r="U5" s="468" t="s">
        <v>806</v>
      </c>
      <c r="V5" s="464" t="s">
        <v>804</v>
      </c>
      <c r="W5" s="462" t="s">
        <v>805</v>
      </c>
      <c r="X5" s="465" t="s">
        <v>806</v>
      </c>
      <c r="Y5" s="461" t="s">
        <v>804</v>
      </c>
      <c r="Z5" s="462" t="s">
        <v>805</v>
      </c>
      <c r="AA5" s="463" t="s">
        <v>806</v>
      </c>
      <c r="AB5" s="464" t="s">
        <v>804</v>
      </c>
      <c r="AC5" s="462" t="s">
        <v>805</v>
      </c>
      <c r="AD5" s="465" t="s">
        <v>806</v>
      </c>
      <c r="AE5" s="461" t="s">
        <v>804</v>
      </c>
      <c r="AF5" s="462" t="s">
        <v>805</v>
      </c>
      <c r="AG5" s="463" t="s">
        <v>806</v>
      </c>
      <c r="AH5" s="464" t="s">
        <v>804</v>
      </c>
      <c r="AI5" s="462" t="s">
        <v>805</v>
      </c>
      <c r="AJ5" s="465" t="s">
        <v>806</v>
      </c>
      <c r="AK5" s="461" t="s">
        <v>804</v>
      </c>
      <c r="AL5" s="462" t="s">
        <v>805</v>
      </c>
      <c r="AM5" s="463" t="s">
        <v>806</v>
      </c>
      <c r="AN5" s="464" t="s">
        <v>804</v>
      </c>
      <c r="AO5" s="462" t="s">
        <v>805</v>
      </c>
      <c r="AP5" s="465" t="s">
        <v>806</v>
      </c>
      <c r="AQ5" s="461" t="s">
        <v>804</v>
      </c>
      <c r="AR5" s="462" t="s">
        <v>805</v>
      </c>
      <c r="AS5" s="463" t="s">
        <v>806</v>
      </c>
      <c r="AT5" s="464" t="s">
        <v>804</v>
      </c>
      <c r="AU5" s="462" t="s">
        <v>805</v>
      </c>
      <c r="AV5" s="465" t="s">
        <v>806</v>
      </c>
      <c r="AW5" s="461" t="s">
        <v>804</v>
      </c>
      <c r="AX5" s="462" t="s">
        <v>805</v>
      </c>
      <c r="AY5" s="463" t="s">
        <v>806</v>
      </c>
      <c r="AZ5" s="464" t="s">
        <v>804</v>
      </c>
      <c r="BA5" s="462" t="s">
        <v>805</v>
      </c>
      <c r="BB5" s="465" t="s">
        <v>806</v>
      </c>
      <c r="BC5" s="461" t="s">
        <v>804</v>
      </c>
      <c r="BD5" s="462" t="s">
        <v>805</v>
      </c>
      <c r="BE5" s="463" t="s">
        <v>806</v>
      </c>
      <c r="BF5" s="464" t="s">
        <v>804</v>
      </c>
      <c r="BG5" s="462" t="s">
        <v>805</v>
      </c>
      <c r="BH5" s="465" t="s">
        <v>806</v>
      </c>
      <c r="BI5" s="461" t="s">
        <v>804</v>
      </c>
      <c r="BJ5" s="462" t="s">
        <v>805</v>
      </c>
      <c r="BK5" s="463" t="s">
        <v>806</v>
      </c>
      <c r="BL5" s="464" t="s">
        <v>804</v>
      </c>
      <c r="BM5" s="462" t="s">
        <v>805</v>
      </c>
      <c r="BN5" s="465" t="s">
        <v>806</v>
      </c>
      <c r="BO5" s="461" t="s">
        <v>804</v>
      </c>
      <c r="BP5" s="462" t="s">
        <v>805</v>
      </c>
      <c r="BQ5" s="463" t="s">
        <v>806</v>
      </c>
      <c r="BR5" s="464" t="s">
        <v>804</v>
      </c>
      <c r="BS5" s="462" t="s">
        <v>805</v>
      </c>
      <c r="BT5" s="465" t="s">
        <v>806</v>
      </c>
      <c r="BU5" s="461" t="s">
        <v>804</v>
      </c>
      <c r="BV5" s="462" t="s">
        <v>805</v>
      </c>
      <c r="BW5" s="463" t="s">
        <v>806</v>
      </c>
    </row>
    <row r="6" spans="1:75" ht="24">
      <c r="A6" s="470" t="s">
        <v>49</v>
      </c>
      <c r="B6" s="471">
        <v>11</v>
      </c>
      <c r="C6" s="471" t="s">
        <v>19</v>
      </c>
      <c r="D6" s="472">
        <v>3111</v>
      </c>
      <c r="E6" s="473" t="s">
        <v>50</v>
      </c>
      <c r="F6" s="474" t="s">
        <v>681</v>
      </c>
      <c r="G6" s="475">
        <f t="shared" ref="G6:I13" si="0">BR6+BU6</f>
        <v>280298714</v>
      </c>
      <c r="H6" s="476">
        <f t="shared" si="0"/>
        <v>280298715</v>
      </c>
      <c r="I6" s="477">
        <f t="shared" si="0"/>
        <v>280298715</v>
      </c>
      <c r="J6" s="478">
        <v>9258256</v>
      </c>
      <c r="K6" s="479">
        <f>9258255-28401</f>
        <v>9229854</v>
      </c>
      <c r="L6" s="480">
        <f>9258255-30798</f>
        <v>9227457</v>
      </c>
      <c r="M6" s="481">
        <v>10034500</v>
      </c>
      <c r="N6" s="479">
        <v>10034500</v>
      </c>
      <c r="O6" s="482">
        <v>10034500</v>
      </c>
      <c r="P6" s="478">
        <v>5092000</v>
      </c>
      <c r="Q6" s="479">
        <v>5092000</v>
      </c>
      <c r="R6" s="480">
        <v>5092000</v>
      </c>
      <c r="S6" s="481">
        <v>5552400</v>
      </c>
      <c r="T6" s="479">
        <v>5552400</v>
      </c>
      <c r="U6" s="482">
        <v>5552400</v>
      </c>
      <c r="V6" s="478">
        <v>8681300</v>
      </c>
      <c r="W6" s="479">
        <v>8681300</v>
      </c>
      <c r="X6" s="480">
        <v>8681300</v>
      </c>
      <c r="Y6" s="483">
        <f t="shared" ref="Y6:AA13" si="1">J6+M6+P6+S6+V6</f>
        <v>38618456</v>
      </c>
      <c r="Z6" s="484">
        <f t="shared" si="1"/>
        <v>38590054</v>
      </c>
      <c r="AA6" s="485">
        <f t="shared" si="1"/>
        <v>38587657</v>
      </c>
      <c r="AB6" s="478">
        <v>25065563</v>
      </c>
      <c r="AC6" s="479">
        <f>25065563+2963</f>
        <v>25068526</v>
      </c>
      <c r="AD6" s="480">
        <f>25065563+7050</f>
        <v>25072613</v>
      </c>
      <c r="AE6" s="481">
        <v>17513958</v>
      </c>
      <c r="AF6" s="479">
        <f>17513959+2039</f>
        <v>17515998</v>
      </c>
      <c r="AG6" s="482">
        <f>17513959+1942</f>
        <v>17515901</v>
      </c>
      <c r="AH6" s="478">
        <v>38344700</v>
      </c>
      <c r="AI6" s="479">
        <f>38344700+4560</f>
        <v>38349260</v>
      </c>
      <c r="AJ6" s="480">
        <f>38344700+4306</f>
        <v>38349006</v>
      </c>
      <c r="AK6" s="486">
        <v>12774222</v>
      </c>
      <c r="AL6" s="487">
        <f>12774222+1473</f>
        <v>12775695</v>
      </c>
      <c r="AM6" s="488">
        <f>12774222+1352</f>
        <v>12775574</v>
      </c>
      <c r="AN6" s="489">
        <v>22183140</v>
      </c>
      <c r="AO6" s="487">
        <f>22183140+2647</f>
        <v>22185787</v>
      </c>
      <c r="AP6" s="490">
        <f>22183140+2557</f>
        <v>22185697</v>
      </c>
      <c r="AQ6" s="486">
        <v>34173856</v>
      </c>
      <c r="AR6" s="487">
        <f>34173856+3991</f>
        <v>34177847</v>
      </c>
      <c r="AS6" s="488">
        <f>34173856+3824</f>
        <v>34177680</v>
      </c>
      <c r="AT6" s="489">
        <v>14380279</v>
      </c>
      <c r="AU6" s="487">
        <f>14380279+1681</f>
        <v>14381960</v>
      </c>
      <c r="AV6" s="490">
        <f>14380279+1194</f>
        <v>14381473</v>
      </c>
      <c r="AW6" s="486">
        <v>15125477</v>
      </c>
      <c r="AX6" s="487">
        <f>15125477+1766</f>
        <v>15127243</v>
      </c>
      <c r="AY6" s="488">
        <f>15125477+1670</f>
        <v>15127147</v>
      </c>
      <c r="AZ6" s="489">
        <v>6332518</v>
      </c>
      <c r="BA6" s="487">
        <f>6332518+755</f>
        <v>6333273</v>
      </c>
      <c r="BB6" s="490">
        <f>6332518+731</f>
        <v>6333249</v>
      </c>
      <c r="BC6" s="486">
        <v>3607578</v>
      </c>
      <c r="BD6" s="487">
        <f>3607578+429</f>
        <v>3608007</v>
      </c>
      <c r="BE6" s="488">
        <f>3607578+401</f>
        <v>3607979</v>
      </c>
      <c r="BF6" s="489">
        <v>16943561</v>
      </c>
      <c r="BG6" s="487">
        <f>16943561+1977</f>
        <v>16945538</v>
      </c>
      <c r="BH6" s="490">
        <f>16943561+1853</f>
        <v>16945414</v>
      </c>
      <c r="BI6" s="486">
        <v>15425880</v>
      </c>
      <c r="BJ6" s="487">
        <f>15425880+1799</f>
        <v>15427679</v>
      </c>
      <c r="BK6" s="488">
        <f>15425880+1740</f>
        <v>15427620</v>
      </c>
      <c r="BL6" s="489">
        <v>15950099</v>
      </c>
      <c r="BM6" s="487">
        <f>15950099+1879</f>
        <v>15951978</v>
      </c>
      <c r="BN6" s="490">
        <f>15950099+1780</f>
        <v>15951879</v>
      </c>
      <c r="BO6" s="486">
        <v>3859427</v>
      </c>
      <c r="BP6" s="487">
        <f>3859428+442</f>
        <v>3859870</v>
      </c>
      <c r="BQ6" s="488">
        <f>3859428+398</f>
        <v>3859826</v>
      </c>
      <c r="BR6" s="491">
        <f t="shared" ref="BR6:BT13" si="2">AB6+AE6+AH6+AK6+AN6+AQ6+AT6+AW6+AZ6+BC6+BF6+BI6+BL6+BO6+Y6</f>
        <v>280298714</v>
      </c>
      <c r="BS6" s="492">
        <f t="shared" si="2"/>
        <v>280298715</v>
      </c>
      <c r="BT6" s="493">
        <f t="shared" si="2"/>
        <v>280298715</v>
      </c>
      <c r="BU6" s="494"/>
      <c r="BV6" s="495"/>
      <c r="BW6" s="496"/>
    </row>
    <row r="7" spans="1:75" ht="24">
      <c r="A7" s="470" t="s">
        <v>49</v>
      </c>
      <c r="B7" s="471">
        <v>11</v>
      </c>
      <c r="C7" s="471" t="s">
        <v>19</v>
      </c>
      <c r="D7" s="472">
        <v>3114</v>
      </c>
      <c r="E7" s="473" t="s">
        <v>750</v>
      </c>
      <c r="F7" s="474" t="s">
        <v>681</v>
      </c>
      <c r="G7" s="497">
        <f t="shared" si="0"/>
        <v>1125508</v>
      </c>
      <c r="H7" s="498">
        <f t="shared" si="0"/>
        <v>1125508</v>
      </c>
      <c r="I7" s="499">
        <f t="shared" si="0"/>
        <v>1125508</v>
      </c>
      <c r="J7" s="500">
        <v>25790</v>
      </c>
      <c r="K7" s="501">
        <v>25790</v>
      </c>
      <c r="L7" s="502">
        <v>25790</v>
      </c>
      <c r="M7" s="503">
        <v>178860</v>
      </c>
      <c r="N7" s="501">
        <v>178860</v>
      </c>
      <c r="O7" s="504">
        <v>178860</v>
      </c>
      <c r="P7" s="500">
        <v>0</v>
      </c>
      <c r="Q7" s="501">
        <v>0</v>
      </c>
      <c r="R7" s="502">
        <v>0</v>
      </c>
      <c r="S7" s="503">
        <v>45528</v>
      </c>
      <c r="T7" s="501">
        <v>45528</v>
      </c>
      <c r="U7" s="504">
        <v>45528</v>
      </c>
      <c r="V7" s="500">
        <v>0</v>
      </c>
      <c r="W7" s="501">
        <v>0</v>
      </c>
      <c r="X7" s="502">
        <v>0</v>
      </c>
      <c r="Y7" s="505">
        <f t="shared" si="1"/>
        <v>250178</v>
      </c>
      <c r="Z7" s="506">
        <f t="shared" si="1"/>
        <v>250178</v>
      </c>
      <c r="AA7" s="507">
        <f t="shared" si="1"/>
        <v>250178</v>
      </c>
      <c r="AB7" s="500">
        <v>0</v>
      </c>
      <c r="AC7" s="501">
        <v>0</v>
      </c>
      <c r="AD7" s="502">
        <v>0</v>
      </c>
      <c r="AE7" s="503">
        <v>0</v>
      </c>
      <c r="AF7" s="501">
        <v>0</v>
      </c>
      <c r="AG7" s="504">
        <v>0</v>
      </c>
      <c r="AH7" s="500">
        <v>596200</v>
      </c>
      <c r="AI7" s="501">
        <v>596200</v>
      </c>
      <c r="AJ7" s="502">
        <v>596200</v>
      </c>
      <c r="AK7" s="508">
        <v>0</v>
      </c>
      <c r="AL7" s="509">
        <v>0</v>
      </c>
      <c r="AM7" s="510">
        <v>0</v>
      </c>
      <c r="AN7" s="511">
        <v>54200</v>
      </c>
      <c r="AO7" s="509">
        <v>54200</v>
      </c>
      <c r="AP7" s="512">
        <v>54200</v>
      </c>
      <c r="AQ7" s="508">
        <v>32520</v>
      </c>
      <c r="AR7" s="509">
        <v>32520</v>
      </c>
      <c r="AS7" s="510">
        <v>32520</v>
      </c>
      <c r="AT7" s="511">
        <v>0</v>
      </c>
      <c r="AU7" s="509">
        <v>0</v>
      </c>
      <c r="AV7" s="512">
        <v>0</v>
      </c>
      <c r="AW7" s="508">
        <v>108400</v>
      </c>
      <c r="AX7" s="509">
        <v>108400</v>
      </c>
      <c r="AY7" s="510">
        <v>108400</v>
      </c>
      <c r="AZ7" s="511">
        <v>0</v>
      </c>
      <c r="BA7" s="509">
        <v>0</v>
      </c>
      <c r="BB7" s="512">
        <v>0</v>
      </c>
      <c r="BC7" s="508">
        <v>0</v>
      </c>
      <c r="BD7" s="509">
        <v>0</v>
      </c>
      <c r="BE7" s="510">
        <v>0</v>
      </c>
      <c r="BF7" s="511">
        <v>84010</v>
      </c>
      <c r="BG7" s="509">
        <v>84010</v>
      </c>
      <c r="BH7" s="512">
        <v>84010</v>
      </c>
      <c r="BI7" s="508">
        <v>0</v>
      </c>
      <c r="BJ7" s="509">
        <v>0</v>
      </c>
      <c r="BK7" s="510">
        <v>0</v>
      </c>
      <c r="BL7" s="511">
        <v>0</v>
      </c>
      <c r="BM7" s="509">
        <v>0</v>
      </c>
      <c r="BN7" s="512">
        <v>0</v>
      </c>
      <c r="BO7" s="508">
        <v>0</v>
      </c>
      <c r="BP7" s="509">
        <v>0</v>
      </c>
      <c r="BQ7" s="510">
        <v>0</v>
      </c>
      <c r="BR7" s="513">
        <f t="shared" si="2"/>
        <v>1125508</v>
      </c>
      <c r="BS7" s="514">
        <f t="shared" si="2"/>
        <v>1125508</v>
      </c>
      <c r="BT7" s="515">
        <f t="shared" si="2"/>
        <v>1125508</v>
      </c>
      <c r="BU7" s="516"/>
      <c r="BV7" s="517"/>
      <c r="BW7" s="518"/>
    </row>
    <row r="8" spans="1:75" ht="24">
      <c r="A8" s="519" t="s">
        <v>49</v>
      </c>
      <c r="B8" s="520">
        <v>11</v>
      </c>
      <c r="C8" s="520" t="s">
        <v>19</v>
      </c>
      <c r="D8" s="521">
        <v>3121</v>
      </c>
      <c r="E8" s="522" t="s">
        <v>51</v>
      </c>
      <c r="F8" s="523" t="s">
        <v>681</v>
      </c>
      <c r="G8" s="497">
        <f t="shared" si="0"/>
        <v>7927679</v>
      </c>
      <c r="H8" s="498">
        <f t="shared" si="0"/>
        <v>7927679</v>
      </c>
      <c r="I8" s="499">
        <f t="shared" si="0"/>
        <v>7927679</v>
      </c>
      <c r="J8" s="500">
        <v>349772</v>
      </c>
      <c r="K8" s="501">
        <v>349772</v>
      </c>
      <c r="L8" s="502">
        <v>349772</v>
      </c>
      <c r="M8" s="503">
        <v>301613</v>
      </c>
      <c r="N8" s="501">
        <v>301613</v>
      </c>
      <c r="O8" s="504">
        <v>301613</v>
      </c>
      <c r="P8" s="500">
        <v>142819</v>
      </c>
      <c r="Q8" s="501">
        <v>142819</v>
      </c>
      <c r="R8" s="502">
        <v>142819</v>
      </c>
      <c r="S8" s="503">
        <v>162551</v>
      </c>
      <c r="T8" s="501">
        <v>162551</v>
      </c>
      <c r="U8" s="504">
        <v>162551</v>
      </c>
      <c r="V8" s="500">
        <v>223626</v>
      </c>
      <c r="W8" s="501">
        <v>223626</v>
      </c>
      <c r="X8" s="502">
        <v>223626</v>
      </c>
      <c r="Y8" s="505">
        <f t="shared" si="1"/>
        <v>1180381</v>
      </c>
      <c r="Z8" s="506">
        <f t="shared" si="1"/>
        <v>1180381</v>
      </c>
      <c r="AA8" s="507">
        <f t="shared" si="1"/>
        <v>1180381</v>
      </c>
      <c r="AB8" s="500">
        <v>687790</v>
      </c>
      <c r="AC8" s="501">
        <v>687790</v>
      </c>
      <c r="AD8" s="502">
        <v>687790</v>
      </c>
      <c r="AE8" s="516">
        <v>503627</v>
      </c>
      <c r="AF8" s="517">
        <v>503627</v>
      </c>
      <c r="AG8" s="518">
        <v>503627</v>
      </c>
      <c r="AH8" s="500">
        <v>1004436</v>
      </c>
      <c r="AI8" s="501">
        <v>1004436</v>
      </c>
      <c r="AJ8" s="502">
        <v>1004436</v>
      </c>
      <c r="AK8" s="508">
        <v>433158</v>
      </c>
      <c r="AL8" s="509">
        <v>433158</v>
      </c>
      <c r="AM8" s="510">
        <v>433158</v>
      </c>
      <c r="AN8" s="511">
        <v>655844</v>
      </c>
      <c r="AO8" s="509">
        <v>655844</v>
      </c>
      <c r="AP8" s="512">
        <v>655844</v>
      </c>
      <c r="AQ8" s="508">
        <v>840946</v>
      </c>
      <c r="AR8" s="509">
        <v>840946</v>
      </c>
      <c r="AS8" s="510">
        <v>840946</v>
      </c>
      <c r="AT8" s="511">
        <v>500809</v>
      </c>
      <c r="AU8" s="509">
        <v>500809</v>
      </c>
      <c r="AV8" s="512">
        <v>500809</v>
      </c>
      <c r="AW8" s="508">
        <v>402151</v>
      </c>
      <c r="AX8" s="509">
        <v>402151</v>
      </c>
      <c r="AY8" s="510">
        <v>402151</v>
      </c>
      <c r="AZ8" s="511">
        <v>179465</v>
      </c>
      <c r="BA8" s="509">
        <v>179465</v>
      </c>
      <c r="BB8" s="512">
        <v>179465</v>
      </c>
      <c r="BC8" s="508">
        <v>125907</v>
      </c>
      <c r="BD8" s="509">
        <v>125907</v>
      </c>
      <c r="BE8" s="510">
        <v>125907</v>
      </c>
      <c r="BF8" s="511">
        <v>525238</v>
      </c>
      <c r="BG8" s="509">
        <v>525238</v>
      </c>
      <c r="BH8" s="512">
        <v>525238</v>
      </c>
      <c r="BI8" s="508">
        <v>294096</v>
      </c>
      <c r="BJ8" s="509">
        <v>294096</v>
      </c>
      <c r="BK8" s="510">
        <v>294096</v>
      </c>
      <c r="BL8" s="511">
        <v>423762</v>
      </c>
      <c r="BM8" s="509">
        <v>423762</v>
      </c>
      <c r="BN8" s="512">
        <v>423762</v>
      </c>
      <c r="BO8" s="508">
        <v>170069</v>
      </c>
      <c r="BP8" s="509">
        <v>170069</v>
      </c>
      <c r="BQ8" s="510">
        <v>170069</v>
      </c>
      <c r="BR8" s="513">
        <f>AB8+AF8+AH8+AK8+AN8+AQ8+AT8+AW8+AZ8+BC8+BF8+BI8+BL8+BO8+Y8</f>
        <v>7927679</v>
      </c>
      <c r="BS8" s="514">
        <f t="shared" si="2"/>
        <v>7927679</v>
      </c>
      <c r="BT8" s="515">
        <f t="shared" si="2"/>
        <v>7927679</v>
      </c>
      <c r="BU8" s="516"/>
      <c r="BV8" s="517"/>
      <c r="BW8" s="518"/>
    </row>
    <row r="9" spans="1:75" ht="36">
      <c r="A9" s="519" t="s">
        <v>49</v>
      </c>
      <c r="B9" s="520">
        <v>11</v>
      </c>
      <c r="C9" s="520" t="s">
        <v>19</v>
      </c>
      <c r="D9" s="521">
        <v>3132</v>
      </c>
      <c r="E9" s="522" t="s">
        <v>52</v>
      </c>
      <c r="F9" s="523" t="s">
        <v>681</v>
      </c>
      <c r="G9" s="497">
        <f t="shared" si="0"/>
        <v>45895901</v>
      </c>
      <c r="H9" s="498">
        <f t="shared" si="0"/>
        <v>45895901</v>
      </c>
      <c r="I9" s="499">
        <f t="shared" si="0"/>
        <v>45895901</v>
      </c>
      <c r="J9" s="500">
        <v>1475051</v>
      </c>
      <c r="K9" s="501">
        <v>1475051</v>
      </c>
      <c r="L9" s="502">
        <v>1475051</v>
      </c>
      <c r="M9" s="503">
        <v>1643600</v>
      </c>
      <c r="N9" s="501">
        <v>1643600</v>
      </c>
      <c r="O9" s="504">
        <v>1643600</v>
      </c>
      <c r="P9" s="500">
        <v>841200</v>
      </c>
      <c r="Q9" s="501">
        <v>841200</v>
      </c>
      <c r="R9" s="502">
        <v>841200</v>
      </c>
      <c r="S9" s="503">
        <v>895850</v>
      </c>
      <c r="T9" s="501">
        <v>895850</v>
      </c>
      <c r="U9" s="504">
        <v>895850</v>
      </c>
      <c r="V9" s="500">
        <v>1433400</v>
      </c>
      <c r="W9" s="501">
        <v>1433400</v>
      </c>
      <c r="X9" s="502">
        <v>1433400</v>
      </c>
      <c r="Y9" s="505">
        <f t="shared" si="1"/>
        <v>6289101</v>
      </c>
      <c r="Z9" s="506">
        <f t="shared" si="1"/>
        <v>6289101</v>
      </c>
      <c r="AA9" s="507">
        <f t="shared" si="1"/>
        <v>6289101</v>
      </c>
      <c r="AB9" s="500">
        <v>4125700</v>
      </c>
      <c r="AC9" s="501">
        <v>4125700</v>
      </c>
      <c r="AD9" s="502">
        <v>4125700</v>
      </c>
      <c r="AE9" s="503">
        <v>2881700</v>
      </c>
      <c r="AF9" s="501">
        <v>2881700</v>
      </c>
      <c r="AG9" s="504">
        <v>2881700</v>
      </c>
      <c r="AH9" s="500">
        <v>6325000</v>
      </c>
      <c r="AI9" s="501">
        <v>6325000</v>
      </c>
      <c r="AJ9" s="502">
        <v>6325000</v>
      </c>
      <c r="AK9" s="508">
        <v>2107100</v>
      </c>
      <c r="AL9" s="509">
        <v>2107100</v>
      </c>
      <c r="AM9" s="510">
        <v>2107100</v>
      </c>
      <c r="AN9" s="511">
        <v>3614800</v>
      </c>
      <c r="AO9" s="509">
        <v>3614800</v>
      </c>
      <c r="AP9" s="512">
        <v>3614800</v>
      </c>
      <c r="AQ9" s="508">
        <v>5611700</v>
      </c>
      <c r="AR9" s="509">
        <v>5611700</v>
      </c>
      <c r="AS9" s="510">
        <v>5611700</v>
      </c>
      <c r="AT9" s="511">
        <v>2352600</v>
      </c>
      <c r="AU9" s="509">
        <v>2352600</v>
      </c>
      <c r="AV9" s="512">
        <v>2352600</v>
      </c>
      <c r="AW9" s="508">
        <v>2481000</v>
      </c>
      <c r="AX9" s="509">
        <v>2481000</v>
      </c>
      <c r="AY9" s="510">
        <v>2481000</v>
      </c>
      <c r="AZ9" s="511">
        <v>1012000</v>
      </c>
      <c r="BA9" s="509">
        <v>1012000</v>
      </c>
      <c r="BB9" s="512">
        <v>1012000</v>
      </c>
      <c r="BC9" s="508">
        <v>563000</v>
      </c>
      <c r="BD9" s="509">
        <v>563000</v>
      </c>
      <c r="BE9" s="510">
        <v>563000</v>
      </c>
      <c r="BF9" s="511">
        <v>2798000</v>
      </c>
      <c r="BG9" s="509">
        <v>2798000</v>
      </c>
      <c r="BH9" s="512">
        <v>2798000</v>
      </c>
      <c r="BI9" s="508">
        <v>2524300</v>
      </c>
      <c r="BJ9" s="509">
        <v>2524300</v>
      </c>
      <c r="BK9" s="510">
        <v>2524300</v>
      </c>
      <c r="BL9" s="511">
        <v>2625500</v>
      </c>
      <c r="BM9" s="509">
        <v>2625500</v>
      </c>
      <c r="BN9" s="512">
        <v>2625500</v>
      </c>
      <c r="BO9" s="508">
        <v>584400</v>
      </c>
      <c r="BP9" s="509">
        <v>584400</v>
      </c>
      <c r="BQ9" s="510">
        <v>584400</v>
      </c>
      <c r="BR9" s="513">
        <f>AB9+AE9+AH9+AK9+AN9+AQ9+AT9+AW9+AZ9+BC9+BF9+BI9+BL9+BO9+Y9</f>
        <v>45895901</v>
      </c>
      <c r="BS9" s="514">
        <f t="shared" si="2"/>
        <v>45895901</v>
      </c>
      <c r="BT9" s="515">
        <f t="shared" si="2"/>
        <v>45895901</v>
      </c>
      <c r="BU9" s="516"/>
      <c r="BV9" s="517"/>
      <c r="BW9" s="518"/>
    </row>
    <row r="10" spans="1:75" ht="36">
      <c r="A10" s="519" t="s">
        <v>49</v>
      </c>
      <c r="B10" s="520">
        <v>11</v>
      </c>
      <c r="C10" s="520" t="s">
        <v>19</v>
      </c>
      <c r="D10" s="521">
        <v>3212</v>
      </c>
      <c r="E10" s="522" t="s">
        <v>53</v>
      </c>
      <c r="F10" s="523" t="s">
        <v>681</v>
      </c>
      <c r="G10" s="497">
        <f t="shared" si="0"/>
        <v>6047078</v>
      </c>
      <c r="H10" s="498">
        <f t="shared" si="0"/>
        <v>6047077</v>
      </c>
      <c r="I10" s="499">
        <f t="shared" si="0"/>
        <v>6047077</v>
      </c>
      <c r="J10" s="500">
        <v>225421</v>
      </c>
      <c r="K10" s="501">
        <v>225421</v>
      </c>
      <c r="L10" s="502">
        <v>225421</v>
      </c>
      <c r="M10" s="503">
        <v>336304</v>
      </c>
      <c r="N10" s="501">
        <v>336304</v>
      </c>
      <c r="O10" s="504">
        <v>336304</v>
      </c>
      <c r="P10" s="500">
        <v>134957</v>
      </c>
      <c r="Q10" s="501">
        <v>134957</v>
      </c>
      <c r="R10" s="502">
        <v>134957</v>
      </c>
      <c r="S10" s="503">
        <v>145840</v>
      </c>
      <c r="T10" s="501">
        <v>145840</v>
      </c>
      <c r="U10" s="504">
        <v>145840</v>
      </c>
      <c r="V10" s="500">
        <v>204613</v>
      </c>
      <c r="W10" s="501">
        <v>204613</v>
      </c>
      <c r="X10" s="502">
        <v>204613</v>
      </c>
      <c r="Y10" s="505">
        <f t="shared" si="1"/>
        <v>1047135</v>
      </c>
      <c r="Z10" s="506">
        <f t="shared" si="1"/>
        <v>1047135</v>
      </c>
      <c r="AA10" s="507">
        <f t="shared" si="1"/>
        <v>1047135</v>
      </c>
      <c r="AB10" s="500">
        <v>536563</v>
      </c>
      <c r="AC10" s="501">
        <v>536563</v>
      </c>
      <c r="AD10" s="502">
        <v>536563</v>
      </c>
      <c r="AE10" s="503">
        <v>180669</v>
      </c>
      <c r="AF10" s="501">
        <v>180669</v>
      </c>
      <c r="AG10" s="504">
        <v>180669</v>
      </c>
      <c r="AH10" s="500">
        <v>1088365</v>
      </c>
      <c r="AI10" s="501">
        <v>1088364</v>
      </c>
      <c r="AJ10" s="502">
        <v>1088364</v>
      </c>
      <c r="AK10" s="508">
        <v>263384</v>
      </c>
      <c r="AL10" s="509">
        <v>263384</v>
      </c>
      <c r="AM10" s="510">
        <v>263384</v>
      </c>
      <c r="AN10" s="511">
        <v>607307</v>
      </c>
      <c r="AO10" s="509">
        <v>607307</v>
      </c>
      <c r="AP10" s="512">
        <v>607307</v>
      </c>
      <c r="AQ10" s="508">
        <v>438610</v>
      </c>
      <c r="AR10" s="509">
        <v>438610</v>
      </c>
      <c r="AS10" s="510">
        <v>438610</v>
      </c>
      <c r="AT10" s="511">
        <v>346100</v>
      </c>
      <c r="AU10" s="509">
        <v>346100</v>
      </c>
      <c r="AV10" s="512">
        <v>346100</v>
      </c>
      <c r="AW10" s="508">
        <v>203524</v>
      </c>
      <c r="AX10" s="509">
        <v>203524</v>
      </c>
      <c r="AY10" s="510">
        <v>203524</v>
      </c>
      <c r="AZ10" s="511">
        <v>211142</v>
      </c>
      <c r="BA10" s="509">
        <v>211142</v>
      </c>
      <c r="BB10" s="512">
        <v>211142</v>
      </c>
      <c r="BC10" s="508">
        <v>157813</v>
      </c>
      <c r="BD10" s="509">
        <v>157813</v>
      </c>
      <c r="BE10" s="510">
        <v>157813</v>
      </c>
      <c r="BF10" s="511">
        <v>241616</v>
      </c>
      <c r="BG10" s="509">
        <v>241616</v>
      </c>
      <c r="BH10" s="512">
        <v>241616</v>
      </c>
      <c r="BI10" s="508">
        <v>170873</v>
      </c>
      <c r="BJ10" s="509">
        <v>170873</v>
      </c>
      <c r="BK10" s="510">
        <v>170873</v>
      </c>
      <c r="BL10" s="511">
        <v>460377</v>
      </c>
      <c r="BM10" s="509">
        <v>460377</v>
      </c>
      <c r="BN10" s="512">
        <v>460377</v>
      </c>
      <c r="BO10" s="508">
        <v>93600</v>
      </c>
      <c r="BP10" s="509">
        <v>93600</v>
      </c>
      <c r="BQ10" s="510">
        <v>93600</v>
      </c>
      <c r="BR10" s="513">
        <f>AB10+AE10+AH10+AK10+AN10+AQ10+AT10+AW10+AZ10+BC10+BF10+BI10+BL10+BO10+Y10</f>
        <v>6047078</v>
      </c>
      <c r="BS10" s="514">
        <f t="shared" si="2"/>
        <v>6047077</v>
      </c>
      <c r="BT10" s="515">
        <f t="shared" si="2"/>
        <v>6047077</v>
      </c>
      <c r="BU10" s="516"/>
      <c r="BV10" s="517"/>
      <c r="BW10" s="518"/>
    </row>
    <row r="11" spans="1:75" ht="24">
      <c r="A11" s="519" t="s">
        <v>49</v>
      </c>
      <c r="B11" s="520">
        <v>11</v>
      </c>
      <c r="C11" s="520" t="s">
        <v>19</v>
      </c>
      <c r="D11" s="521">
        <v>3236</v>
      </c>
      <c r="E11" s="522" t="s">
        <v>54</v>
      </c>
      <c r="F11" s="523" t="s">
        <v>681</v>
      </c>
      <c r="G11" s="497">
        <f t="shared" si="0"/>
        <v>387500</v>
      </c>
      <c r="H11" s="498">
        <f t="shared" si="0"/>
        <v>387500</v>
      </c>
      <c r="I11" s="499">
        <f t="shared" si="0"/>
        <v>387500</v>
      </c>
      <c r="J11" s="500">
        <v>23000</v>
      </c>
      <c r="K11" s="501">
        <v>23000</v>
      </c>
      <c r="L11" s="502">
        <v>23000</v>
      </c>
      <c r="M11" s="503">
        <v>14500</v>
      </c>
      <c r="N11" s="501">
        <v>14500</v>
      </c>
      <c r="O11" s="504">
        <v>14500</v>
      </c>
      <c r="P11" s="500">
        <v>10000</v>
      </c>
      <c r="Q11" s="501">
        <v>10000</v>
      </c>
      <c r="R11" s="502">
        <v>10000</v>
      </c>
      <c r="S11" s="503">
        <v>10000</v>
      </c>
      <c r="T11" s="501">
        <v>10000</v>
      </c>
      <c r="U11" s="504">
        <v>10000</v>
      </c>
      <c r="V11" s="500">
        <v>12000</v>
      </c>
      <c r="W11" s="501">
        <v>12000</v>
      </c>
      <c r="X11" s="502">
        <v>12000</v>
      </c>
      <c r="Y11" s="505">
        <f t="shared" si="1"/>
        <v>69500</v>
      </c>
      <c r="Z11" s="506">
        <f t="shared" si="1"/>
        <v>69500</v>
      </c>
      <c r="AA11" s="507">
        <f t="shared" si="1"/>
        <v>69500</v>
      </c>
      <c r="AB11" s="500">
        <v>25000</v>
      </c>
      <c r="AC11" s="501">
        <v>25000</v>
      </c>
      <c r="AD11" s="502">
        <v>25000</v>
      </c>
      <c r="AE11" s="503">
        <v>21500</v>
      </c>
      <c r="AF11" s="501">
        <v>21500</v>
      </c>
      <c r="AG11" s="504">
        <v>21500</v>
      </c>
      <c r="AH11" s="500">
        <v>54000</v>
      </c>
      <c r="AI11" s="501">
        <v>54000</v>
      </c>
      <c r="AJ11" s="502">
        <v>54000</v>
      </c>
      <c r="AK11" s="508">
        <v>27000</v>
      </c>
      <c r="AL11" s="509">
        <v>27000</v>
      </c>
      <c r="AM11" s="510">
        <v>27000</v>
      </c>
      <c r="AN11" s="511">
        <v>20000</v>
      </c>
      <c r="AO11" s="509">
        <v>20000</v>
      </c>
      <c r="AP11" s="512">
        <v>20000</v>
      </c>
      <c r="AQ11" s="508">
        <v>36000</v>
      </c>
      <c r="AR11" s="509">
        <v>36000</v>
      </c>
      <c r="AS11" s="510">
        <v>36000</v>
      </c>
      <c r="AT11" s="511">
        <v>25500</v>
      </c>
      <c r="AU11" s="509">
        <v>25500</v>
      </c>
      <c r="AV11" s="512">
        <v>25500</v>
      </c>
      <c r="AW11" s="508">
        <v>21500</v>
      </c>
      <c r="AX11" s="509">
        <v>21500</v>
      </c>
      <c r="AY11" s="510">
        <v>21500</v>
      </c>
      <c r="AZ11" s="511">
        <v>7000</v>
      </c>
      <c r="BA11" s="509">
        <v>7000</v>
      </c>
      <c r="BB11" s="512">
        <v>7000</v>
      </c>
      <c r="BC11" s="508">
        <v>7000</v>
      </c>
      <c r="BD11" s="509">
        <v>7000</v>
      </c>
      <c r="BE11" s="510">
        <v>7000</v>
      </c>
      <c r="BF11" s="511">
        <v>27000</v>
      </c>
      <c r="BG11" s="509">
        <v>27000</v>
      </c>
      <c r="BH11" s="512">
        <v>27000</v>
      </c>
      <c r="BI11" s="508">
        <v>13500</v>
      </c>
      <c r="BJ11" s="509">
        <v>13500</v>
      </c>
      <c r="BK11" s="510">
        <v>13500</v>
      </c>
      <c r="BL11" s="511">
        <v>22000</v>
      </c>
      <c r="BM11" s="509">
        <v>22000</v>
      </c>
      <c r="BN11" s="512">
        <v>22000</v>
      </c>
      <c r="BO11" s="508">
        <v>11000</v>
      </c>
      <c r="BP11" s="509">
        <v>11000</v>
      </c>
      <c r="BQ11" s="510">
        <v>11000</v>
      </c>
      <c r="BR11" s="513">
        <f>AB11+AE11+AH11+AK11+AN11+AQ11+AT11+AW11+AZ11+BC11+BF11+BI11+BL11+BO11+Y11</f>
        <v>387500</v>
      </c>
      <c r="BS11" s="514">
        <f t="shared" si="2"/>
        <v>387500</v>
      </c>
      <c r="BT11" s="515">
        <f t="shared" si="2"/>
        <v>387500</v>
      </c>
      <c r="BU11" s="516"/>
      <c r="BV11" s="517"/>
      <c r="BW11" s="518"/>
    </row>
    <row r="12" spans="1:75" ht="24">
      <c r="A12" s="519" t="s">
        <v>49</v>
      </c>
      <c r="B12" s="520">
        <v>11</v>
      </c>
      <c r="C12" s="520" t="s">
        <v>19</v>
      </c>
      <c r="D12" s="521">
        <v>3295</v>
      </c>
      <c r="E12" s="522" t="s">
        <v>55</v>
      </c>
      <c r="F12" s="523" t="s">
        <v>681</v>
      </c>
      <c r="G12" s="497">
        <f t="shared" si="0"/>
        <v>340000</v>
      </c>
      <c r="H12" s="498">
        <f t="shared" si="0"/>
        <v>340000</v>
      </c>
      <c r="I12" s="499">
        <f t="shared" si="0"/>
        <v>340000</v>
      </c>
      <c r="J12" s="500">
        <v>50615</v>
      </c>
      <c r="K12" s="501">
        <v>50615</v>
      </c>
      <c r="L12" s="502">
        <v>50615</v>
      </c>
      <c r="M12" s="503">
        <v>0</v>
      </c>
      <c r="N12" s="501">
        <v>0</v>
      </c>
      <c r="O12" s="504">
        <v>0</v>
      </c>
      <c r="P12" s="500">
        <v>0</v>
      </c>
      <c r="Q12" s="501">
        <v>0</v>
      </c>
      <c r="R12" s="502">
        <v>0</v>
      </c>
      <c r="S12" s="503">
        <v>0</v>
      </c>
      <c r="T12" s="501">
        <v>0</v>
      </c>
      <c r="U12" s="504">
        <v>0</v>
      </c>
      <c r="V12" s="500">
        <v>0</v>
      </c>
      <c r="W12" s="501">
        <v>0</v>
      </c>
      <c r="X12" s="502">
        <v>0</v>
      </c>
      <c r="Y12" s="505">
        <f t="shared" si="1"/>
        <v>50615</v>
      </c>
      <c r="Z12" s="506">
        <f t="shared" si="1"/>
        <v>50615</v>
      </c>
      <c r="AA12" s="507">
        <f t="shared" si="1"/>
        <v>50615</v>
      </c>
      <c r="AB12" s="500">
        <v>35465</v>
      </c>
      <c r="AC12" s="501">
        <v>35465</v>
      </c>
      <c r="AD12" s="502">
        <v>35465</v>
      </c>
      <c r="AE12" s="503">
        <v>10316</v>
      </c>
      <c r="AF12" s="501">
        <v>10316</v>
      </c>
      <c r="AG12" s="504">
        <v>10316</v>
      </c>
      <c r="AH12" s="500">
        <v>51574</v>
      </c>
      <c r="AI12" s="501">
        <v>51574</v>
      </c>
      <c r="AJ12" s="502">
        <v>51574</v>
      </c>
      <c r="AK12" s="508">
        <v>5853</v>
      </c>
      <c r="AL12" s="509">
        <v>5853</v>
      </c>
      <c r="AM12" s="510">
        <v>5853</v>
      </c>
      <c r="AN12" s="511">
        <v>10315</v>
      </c>
      <c r="AO12" s="509">
        <v>10315</v>
      </c>
      <c r="AP12" s="512">
        <v>10315</v>
      </c>
      <c r="AQ12" s="508">
        <v>30945</v>
      </c>
      <c r="AR12" s="509">
        <v>30945</v>
      </c>
      <c r="AS12" s="510">
        <v>30945</v>
      </c>
      <c r="AT12" s="511">
        <v>30945</v>
      </c>
      <c r="AU12" s="509">
        <v>30945</v>
      </c>
      <c r="AV12" s="512">
        <v>30945</v>
      </c>
      <c r="AW12" s="508">
        <v>20645</v>
      </c>
      <c r="AX12" s="509">
        <v>20645</v>
      </c>
      <c r="AY12" s="510">
        <v>20645</v>
      </c>
      <c r="AZ12" s="511">
        <v>0</v>
      </c>
      <c r="BA12" s="509">
        <v>0</v>
      </c>
      <c r="BB12" s="512">
        <v>0</v>
      </c>
      <c r="BC12" s="508">
        <v>10315</v>
      </c>
      <c r="BD12" s="509">
        <v>10315</v>
      </c>
      <c r="BE12" s="510">
        <v>10315</v>
      </c>
      <c r="BF12" s="511">
        <v>41289</v>
      </c>
      <c r="BG12" s="509">
        <v>41289</v>
      </c>
      <c r="BH12" s="512">
        <v>41289</v>
      </c>
      <c r="BI12" s="508">
        <v>0</v>
      </c>
      <c r="BJ12" s="509">
        <v>0</v>
      </c>
      <c r="BK12" s="510">
        <v>0</v>
      </c>
      <c r="BL12" s="511">
        <v>30945</v>
      </c>
      <c r="BM12" s="509">
        <v>30945</v>
      </c>
      <c r="BN12" s="512">
        <v>30945</v>
      </c>
      <c r="BO12" s="508">
        <v>10778</v>
      </c>
      <c r="BP12" s="509">
        <v>10778</v>
      </c>
      <c r="BQ12" s="510">
        <v>10778</v>
      </c>
      <c r="BR12" s="513">
        <f>AB12+AE12+AH12+AK12+AN12+AQ12+AT12+AW12+AZ12+BC12+BF12+BI12+BL12+BO12+Y12</f>
        <v>340000</v>
      </c>
      <c r="BS12" s="514">
        <f t="shared" si="2"/>
        <v>340000</v>
      </c>
      <c r="BT12" s="515">
        <f t="shared" si="2"/>
        <v>340000</v>
      </c>
      <c r="BU12" s="516"/>
      <c r="BV12" s="517"/>
      <c r="BW12" s="518"/>
    </row>
    <row r="13" spans="1:75" ht="24.75" thickBot="1">
      <c r="A13" s="524" t="s">
        <v>49</v>
      </c>
      <c r="B13" s="525">
        <v>11</v>
      </c>
      <c r="C13" s="525" t="s">
        <v>19</v>
      </c>
      <c r="D13" s="526">
        <v>3299</v>
      </c>
      <c r="E13" s="527" t="s">
        <v>57</v>
      </c>
      <c r="F13" s="528" t="s">
        <v>681</v>
      </c>
      <c r="G13" s="529">
        <f t="shared" si="0"/>
        <v>565180</v>
      </c>
      <c r="H13" s="530">
        <f t="shared" si="0"/>
        <v>565180</v>
      </c>
      <c r="I13" s="531">
        <f t="shared" si="0"/>
        <v>565180</v>
      </c>
      <c r="J13" s="532">
        <v>565180</v>
      </c>
      <c r="K13" s="533">
        <v>565180</v>
      </c>
      <c r="L13" s="534">
        <v>565180</v>
      </c>
      <c r="M13" s="535">
        <v>0</v>
      </c>
      <c r="N13" s="533">
        <v>0</v>
      </c>
      <c r="O13" s="536">
        <v>0</v>
      </c>
      <c r="P13" s="532">
        <v>0</v>
      </c>
      <c r="Q13" s="533">
        <v>0</v>
      </c>
      <c r="R13" s="534">
        <v>0</v>
      </c>
      <c r="S13" s="535">
        <v>0</v>
      </c>
      <c r="T13" s="533">
        <v>0</v>
      </c>
      <c r="U13" s="536">
        <v>0</v>
      </c>
      <c r="V13" s="532">
        <v>0</v>
      </c>
      <c r="W13" s="533">
        <v>0</v>
      </c>
      <c r="X13" s="534">
        <v>0</v>
      </c>
      <c r="Y13" s="537">
        <f t="shared" si="1"/>
        <v>565180</v>
      </c>
      <c r="Z13" s="538">
        <f t="shared" si="1"/>
        <v>565180</v>
      </c>
      <c r="AA13" s="539">
        <f t="shared" si="1"/>
        <v>565180</v>
      </c>
      <c r="AB13" s="532">
        <v>0</v>
      </c>
      <c r="AC13" s="533">
        <v>0</v>
      </c>
      <c r="AD13" s="534">
        <v>0</v>
      </c>
      <c r="AE13" s="535">
        <v>0</v>
      </c>
      <c r="AF13" s="533">
        <v>0</v>
      </c>
      <c r="AG13" s="536">
        <v>0</v>
      </c>
      <c r="AH13" s="532">
        <v>0</v>
      </c>
      <c r="AI13" s="533">
        <v>0</v>
      </c>
      <c r="AJ13" s="540">
        <v>0</v>
      </c>
      <c r="AK13" s="541">
        <v>0</v>
      </c>
      <c r="AL13" s="542">
        <v>0</v>
      </c>
      <c r="AM13" s="543">
        <v>0</v>
      </c>
      <c r="AN13" s="544">
        <v>0</v>
      </c>
      <c r="AO13" s="542">
        <v>0</v>
      </c>
      <c r="AP13" s="545">
        <v>0</v>
      </c>
      <c r="AQ13" s="541">
        <v>0</v>
      </c>
      <c r="AR13" s="542">
        <v>0</v>
      </c>
      <c r="AS13" s="543">
        <v>0</v>
      </c>
      <c r="AT13" s="544">
        <v>0</v>
      </c>
      <c r="AU13" s="542">
        <v>0</v>
      </c>
      <c r="AV13" s="545">
        <v>0</v>
      </c>
      <c r="AW13" s="541">
        <v>0</v>
      </c>
      <c r="AX13" s="542">
        <v>0</v>
      </c>
      <c r="AY13" s="543">
        <v>0</v>
      </c>
      <c r="AZ13" s="544">
        <v>0</v>
      </c>
      <c r="BA13" s="542">
        <v>0</v>
      </c>
      <c r="BB13" s="545">
        <v>0</v>
      </c>
      <c r="BC13" s="541">
        <v>0</v>
      </c>
      <c r="BD13" s="542">
        <v>0</v>
      </c>
      <c r="BE13" s="543">
        <v>0</v>
      </c>
      <c r="BF13" s="544">
        <v>0</v>
      </c>
      <c r="BG13" s="542">
        <v>0</v>
      </c>
      <c r="BH13" s="545">
        <v>0</v>
      </c>
      <c r="BI13" s="541">
        <v>0</v>
      </c>
      <c r="BJ13" s="542">
        <v>0</v>
      </c>
      <c r="BK13" s="543">
        <v>0</v>
      </c>
      <c r="BL13" s="544">
        <v>0</v>
      </c>
      <c r="BM13" s="542">
        <v>0</v>
      </c>
      <c r="BN13" s="545">
        <v>0</v>
      </c>
      <c r="BO13" s="541">
        <v>0</v>
      </c>
      <c r="BP13" s="542">
        <v>0</v>
      </c>
      <c r="BQ13" s="543">
        <v>0</v>
      </c>
      <c r="BR13" s="546">
        <f>AB13+AE13+AH13+AK13+AN13+AQ13+AT13+AW13+AZ13+BC13+BF13+BI13+BL13+BO13+Y13</f>
        <v>565180</v>
      </c>
      <c r="BS13" s="547">
        <f t="shared" si="2"/>
        <v>565180</v>
      </c>
      <c r="BT13" s="548">
        <f t="shared" si="2"/>
        <v>565180</v>
      </c>
      <c r="BU13" s="549">
        <v>0</v>
      </c>
      <c r="BV13" s="550">
        <v>0</v>
      </c>
      <c r="BW13" s="551">
        <v>0</v>
      </c>
    </row>
    <row r="14" spans="1:75" s="563" customFormat="1" ht="24.75" thickBot="1">
      <c r="A14" s="552" t="s">
        <v>49</v>
      </c>
      <c r="B14" s="553">
        <v>11</v>
      </c>
      <c r="C14" s="554" t="s">
        <v>19</v>
      </c>
      <c r="D14" s="555"/>
      <c r="E14" s="556" t="s">
        <v>161</v>
      </c>
      <c r="F14" s="557" t="s">
        <v>681</v>
      </c>
      <c r="G14" s="558">
        <f t="shared" ref="G14:AL14" si="3">SUM(G6:G13)</f>
        <v>342587560</v>
      </c>
      <c r="H14" s="559">
        <f t="shared" si="3"/>
        <v>342587560</v>
      </c>
      <c r="I14" s="560">
        <f t="shared" si="3"/>
        <v>342587560</v>
      </c>
      <c r="J14" s="561">
        <f t="shared" si="3"/>
        <v>11973085</v>
      </c>
      <c r="K14" s="559">
        <f t="shared" si="3"/>
        <v>11944683</v>
      </c>
      <c r="L14" s="562">
        <f t="shared" si="3"/>
        <v>11942286</v>
      </c>
      <c r="M14" s="558">
        <f t="shared" si="3"/>
        <v>12509377</v>
      </c>
      <c r="N14" s="559">
        <f t="shared" si="3"/>
        <v>12509377</v>
      </c>
      <c r="O14" s="560">
        <f t="shared" si="3"/>
        <v>12509377</v>
      </c>
      <c r="P14" s="561">
        <f t="shared" si="3"/>
        <v>6220976</v>
      </c>
      <c r="Q14" s="559">
        <f t="shared" si="3"/>
        <v>6220976</v>
      </c>
      <c r="R14" s="562">
        <f t="shared" si="3"/>
        <v>6220976</v>
      </c>
      <c r="S14" s="558">
        <f t="shared" si="3"/>
        <v>6812169</v>
      </c>
      <c r="T14" s="559">
        <f t="shared" si="3"/>
        <v>6812169</v>
      </c>
      <c r="U14" s="560">
        <f t="shared" si="3"/>
        <v>6812169</v>
      </c>
      <c r="V14" s="561">
        <f t="shared" si="3"/>
        <v>10554939</v>
      </c>
      <c r="W14" s="559">
        <f t="shared" si="3"/>
        <v>10554939</v>
      </c>
      <c r="X14" s="562">
        <f t="shared" si="3"/>
        <v>10554939</v>
      </c>
      <c r="Y14" s="558">
        <f t="shared" si="3"/>
        <v>48070546</v>
      </c>
      <c r="Z14" s="559">
        <f t="shared" si="3"/>
        <v>48042144</v>
      </c>
      <c r="AA14" s="560">
        <f t="shared" si="3"/>
        <v>48039747</v>
      </c>
      <c r="AB14" s="561">
        <f t="shared" si="3"/>
        <v>30476081</v>
      </c>
      <c r="AC14" s="559">
        <f t="shared" si="3"/>
        <v>30479044</v>
      </c>
      <c r="AD14" s="562">
        <f t="shared" si="3"/>
        <v>30483131</v>
      </c>
      <c r="AE14" s="558">
        <f t="shared" si="3"/>
        <v>21111770</v>
      </c>
      <c r="AF14" s="559">
        <f t="shared" si="3"/>
        <v>21113810</v>
      </c>
      <c r="AG14" s="560">
        <f t="shared" si="3"/>
        <v>21113713</v>
      </c>
      <c r="AH14" s="561">
        <f t="shared" si="3"/>
        <v>47464275</v>
      </c>
      <c r="AI14" s="559">
        <f t="shared" si="3"/>
        <v>47468834</v>
      </c>
      <c r="AJ14" s="562">
        <f t="shared" si="3"/>
        <v>47468580</v>
      </c>
      <c r="AK14" s="558">
        <f t="shared" si="3"/>
        <v>15610717</v>
      </c>
      <c r="AL14" s="559">
        <f t="shared" si="3"/>
        <v>15612190</v>
      </c>
      <c r="AM14" s="560">
        <f t="shared" ref="AM14:BW14" si="4">SUM(AM6:AM13)</f>
        <v>15612069</v>
      </c>
      <c r="AN14" s="561">
        <f t="shared" si="4"/>
        <v>27145606</v>
      </c>
      <c r="AO14" s="559">
        <f t="shared" si="4"/>
        <v>27148253</v>
      </c>
      <c r="AP14" s="562">
        <f t="shared" si="4"/>
        <v>27148163</v>
      </c>
      <c r="AQ14" s="558">
        <f t="shared" si="4"/>
        <v>41164577</v>
      </c>
      <c r="AR14" s="559">
        <f t="shared" si="4"/>
        <v>41168568</v>
      </c>
      <c r="AS14" s="560">
        <f t="shared" si="4"/>
        <v>41168401</v>
      </c>
      <c r="AT14" s="561">
        <f t="shared" si="4"/>
        <v>17636233</v>
      </c>
      <c r="AU14" s="559">
        <f t="shared" si="4"/>
        <v>17637914</v>
      </c>
      <c r="AV14" s="562">
        <f t="shared" si="4"/>
        <v>17637427</v>
      </c>
      <c r="AW14" s="558">
        <f t="shared" si="4"/>
        <v>18362697</v>
      </c>
      <c r="AX14" s="559">
        <f t="shared" si="4"/>
        <v>18364463</v>
      </c>
      <c r="AY14" s="560">
        <f t="shared" si="4"/>
        <v>18364367</v>
      </c>
      <c r="AZ14" s="561">
        <f t="shared" si="4"/>
        <v>7742125</v>
      </c>
      <c r="BA14" s="559">
        <f t="shared" si="4"/>
        <v>7742880</v>
      </c>
      <c r="BB14" s="562">
        <f t="shared" si="4"/>
        <v>7742856</v>
      </c>
      <c r="BC14" s="558">
        <f t="shared" si="4"/>
        <v>4471613</v>
      </c>
      <c r="BD14" s="559">
        <f t="shared" si="4"/>
        <v>4472042</v>
      </c>
      <c r="BE14" s="560">
        <f t="shared" si="4"/>
        <v>4472014</v>
      </c>
      <c r="BF14" s="561">
        <f t="shared" si="4"/>
        <v>20660714</v>
      </c>
      <c r="BG14" s="559">
        <f t="shared" si="4"/>
        <v>20662691</v>
      </c>
      <c r="BH14" s="562">
        <f t="shared" si="4"/>
        <v>20662567</v>
      </c>
      <c r="BI14" s="558">
        <f t="shared" si="4"/>
        <v>18428649</v>
      </c>
      <c r="BJ14" s="559">
        <f t="shared" si="4"/>
        <v>18430448</v>
      </c>
      <c r="BK14" s="560">
        <f t="shared" si="4"/>
        <v>18430389</v>
      </c>
      <c r="BL14" s="561">
        <f t="shared" si="4"/>
        <v>19512683</v>
      </c>
      <c r="BM14" s="559">
        <f t="shared" si="4"/>
        <v>19514562</v>
      </c>
      <c r="BN14" s="562">
        <f t="shared" si="4"/>
        <v>19514463</v>
      </c>
      <c r="BO14" s="558">
        <f t="shared" si="4"/>
        <v>4729274</v>
      </c>
      <c r="BP14" s="559">
        <f t="shared" si="4"/>
        <v>4729717</v>
      </c>
      <c r="BQ14" s="560">
        <f t="shared" si="4"/>
        <v>4729673</v>
      </c>
      <c r="BR14" s="561">
        <f t="shared" si="4"/>
        <v>342587560</v>
      </c>
      <c r="BS14" s="559">
        <f t="shared" si="4"/>
        <v>342587560</v>
      </c>
      <c r="BT14" s="562">
        <f t="shared" si="4"/>
        <v>342587560</v>
      </c>
      <c r="BU14" s="558">
        <f t="shared" si="4"/>
        <v>0</v>
      </c>
      <c r="BV14" s="559">
        <f t="shared" si="4"/>
        <v>0</v>
      </c>
      <c r="BW14" s="560">
        <f t="shared" si="4"/>
        <v>0</v>
      </c>
    </row>
    <row r="15" spans="1:75" ht="24">
      <c r="A15" s="470" t="s">
        <v>49</v>
      </c>
      <c r="B15" s="471">
        <v>11</v>
      </c>
      <c r="C15" s="471" t="s">
        <v>19</v>
      </c>
      <c r="D15" s="472">
        <v>3111</v>
      </c>
      <c r="E15" s="473" t="s">
        <v>50</v>
      </c>
      <c r="F15" s="474" t="s">
        <v>682</v>
      </c>
      <c r="G15" s="564">
        <f t="shared" ref="G15:I62" si="5">BR15+BU15</f>
        <v>921480</v>
      </c>
      <c r="H15" s="565">
        <f t="shared" si="5"/>
        <v>870430</v>
      </c>
      <c r="I15" s="566">
        <f t="shared" si="5"/>
        <v>856530</v>
      </c>
      <c r="J15" s="567">
        <v>300000</v>
      </c>
      <c r="K15" s="568">
        <v>300000</v>
      </c>
      <c r="L15" s="569">
        <v>300000</v>
      </c>
      <c r="M15" s="570"/>
      <c r="N15" s="568"/>
      <c r="O15" s="571"/>
      <c r="P15" s="567"/>
      <c r="Q15" s="568"/>
      <c r="R15" s="569"/>
      <c r="S15" s="570"/>
      <c r="T15" s="568"/>
      <c r="U15" s="571"/>
      <c r="V15" s="567">
        <v>263480</v>
      </c>
      <c r="W15" s="568">
        <v>212430</v>
      </c>
      <c r="X15" s="569">
        <v>198530</v>
      </c>
      <c r="Y15" s="572">
        <f t="shared" ref="Y15:AA62" si="6">J15+M15+P15+S15+V15</f>
        <v>563480</v>
      </c>
      <c r="Z15" s="573">
        <f t="shared" si="6"/>
        <v>512430</v>
      </c>
      <c r="AA15" s="574">
        <f t="shared" si="6"/>
        <v>498530</v>
      </c>
      <c r="AB15" s="567"/>
      <c r="AC15" s="568"/>
      <c r="AD15" s="569"/>
      <c r="AE15" s="570"/>
      <c r="AF15" s="568"/>
      <c r="AG15" s="571"/>
      <c r="AH15" s="567"/>
      <c r="AI15" s="568"/>
      <c r="AJ15" s="569"/>
      <c r="AK15" s="570"/>
      <c r="AL15" s="568"/>
      <c r="AM15" s="571"/>
      <c r="AN15" s="567"/>
      <c r="AO15" s="568"/>
      <c r="AP15" s="569"/>
      <c r="AQ15" s="570">
        <v>200000</v>
      </c>
      <c r="AR15" s="568">
        <v>200000</v>
      </c>
      <c r="AS15" s="571">
        <v>200000</v>
      </c>
      <c r="AT15" s="567"/>
      <c r="AU15" s="568"/>
      <c r="AV15" s="569"/>
      <c r="AW15" s="570"/>
      <c r="AX15" s="568"/>
      <c r="AY15" s="571"/>
      <c r="AZ15" s="567"/>
      <c r="BA15" s="568"/>
      <c r="BB15" s="569"/>
      <c r="BC15" s="570">
        <v>38000</v>
      </c>
      <c r="BD15" s="568">
        <v>38000</v>
      </c>
      <c r="BE15" s="571">
        <v>38000</v>
      </c>
      <c r="BF15" s="567"/>
      <c r="BG15" s="568"/>
      <c r="BH15" s="569"/>
      <c r="BI15" s="570">
        <v>120000</v>
      </c>
      <c r="BJ15" s="568">
        <v>120000</v>
      </c>
      <c r="BK15" s="571">
        <v>120000</v>
      </c>
      <c r="BL15" s="567"/>
      <c r="BM15" s="568"/>
      <c r="BN15" s="569"/>
      <c r="BO15" s="570"/>
      <c r="BP15" s="568"/>
      <c r="BQ15" s="571"/>
      <c r="BR15" s="575">
        <f t="shared" ref="BR15:BT62" si="7">AB15+AE15+AH15+AK15+AN15+AQ15+AT15+AW15+AZ15+BC15+BF15+BI15+BL15+BO15+Y15</f>
        <v>921480</v>
      </c>
      <c r="BS15" s="576">
        <f t="shared" si="7"/>
        <v>870430</v>
      </c>
      <c r="BT15" s="577">
        <f t="shared" si="7"/>
        <v>856530</v>
      </c>
      <c r="BU15" s="578"/>
      <c r="BV15" s="579"/>
      <c r="BW15" s="580"/>
    </row>
    <row r="16" spans="1:75" ht="35.25" customHeight="1">
      <c r="A16" s="470" t="s">
        <v>49</v>
      </c>
      <c r="B16" s="471">
        <v>11</v>
      </c>
      <c r="C16" s="471" t="s">
        <v>19</v>
      </c>
      <c r="D16" s="472">
        <v>3113</v>
      </c>
      <c r="E16" s="473" t="s">
        <v>751</v>
      </c>
      <c r="F16" s="474" t="s">
        <v>682</v>
      </c>
      <c r="G16" s="497">
        <f t="shared" si="5"/>
        <v>10000</v>
      </c>
      <c r="H16" s="498">
        <f t="shared" si="5"/>
        <v>10000</v>
      </c>
      <c r="I16" s="499">
        <f t="shared" si="5"/>
        <v>10000</v>
      </c>
      <c r="J16" s="500">
        <v>10000</v>
      </c>
      <c r="K16" s="501">
        <v>10000</v>
      </c>
      <c r="L16" s="502">
        <v>10000</v>
      </c>
      <c r="M16" s="503"/>
      <c r="N16" s="501"/>
      <c r="O16" s="504"/>
      <c r="P16" s="500"/>
      <c r="Q16" s="501"/>
      <c r="R16" s="502"/>
      <c r="S16" s="503"/>
      <c r="T16" s="501"/>
      <c r="U16" s="504"/>
      <c r="V16" s="500"/>
      <c r="W16" s="501"/>
      <c r="X16" s="502"/>
      <c r="Y16" s="505">
        <f t="shared" si="6"/>
        <v>10000</v>
      </c>
      <c r="Z16" s="506">
        <f t="shared" si="6"/>
        <v>10000</v>
      </c>
      <c r="AA16" s="507">
        <f t="shared" si="6"/>
        <v>10000</v>
      </c>
      <c r="AB16" s="500"/>
      <c r="AC16" s="501"/>
      <c r="AD16" s="502"/>
      <c r="AE16" s="503"/>
      <c r="AF16" s="501"/>
      <c r="AG16" s="504"/>
      <c r="AH16" s="500"/>
      <c r="AI16" s="501"/>
      <c r="AJ16" s="502"/>
      <c r="AK16" s="503"/>
      <c r="AL16" s="501"/>
      <c r="AM16" s="504"/>
      <c r="AN16" s="500"/>
      <c r="AO16" s="501"/>
      <c r="AP16" s="502"/>
      <c r="AQ16" s="503"/>
      <c r="AR16" s="501"/>
      <c r="AS16" s="504"/>
      <c r="AT16" s="500"/>
      <c r="AU16" s="501"/>
      <c r="AV16" s="502"/>
      <c r="AW16" s="503"/>
      <c r="AX16" s="501"/>
      <c r="AY16" s="504"/>
      <c r="AZ16" s="500"/>
      <c r="BA16" s="501"/>
      <c r="BB16" s="502"/>
      <c r="BC16" s="503"/>
      <c r="BD16" s="501"/>
      <c r="BE16" s="504"/>
      <c r="BF16" s="500"/>
      <c r="BG16" s="501"/>
      <c r="BH16" s="502"/>
      <c r="BI16" s="503"/>
      <c r="BJ16" s="501"/>
      <c r="BK16" s="504"/>
      <c r="BL16" s="500"/>
      <c r="BM16" s="501"/>
      <c r="BN16" s="502"/>
      <c r="BO16" s="503"/>
      <c r="BP16" s="501"/>
      <c r="BQ16" s="504"/>
      <c r="BR16" s="513">
        <f t="shared" si="7"/>
        <v>10000</v>
      </c>
      <c r="BS16" s="514">
        <f t="shared" si="7"/>
        <v>10000</v>
      </c>
      <c r="BT16" s="515">
        <f t="shared" si="7"/>
        <v>10000</v>
      </c>
      <c r="BU16" s="516"/>
      <c r="BV16" s="517"/>
      <c r="BW16" s="518"/>
    </row>
    <row r="17" spans="1:75" ht="24">
      <c r="A17" s="519" t="s">
        <v>49</v>
      </c>
      <c r="B17" s="520">
        <v>11</v>
      </c>
      <c r="C17" s="520" t="s">
        <v>19</v>
      </c>
      <c r="D17" s="521">
        <v>3121</v>
      </c>
      <c r="E17" s="522" t="s">
        <v>51</v>
      </c>
      <c r="F17" s="523" t="s">
        <v>682</v>
      </c>
      <c r="G17" s="497">
        <f t="shared" si="5"/>
        <v>475000</v>
      </c>
      <c r="H17" s="498">
        <f t="shared" si="5"/>
        <v>475000</v>
      </c>
      <c r="I17" s="499">
        <f t="shared" si="5"/>
        <v>475000</v>
      </c>
      <c r="J17" s="500">
        <v>475000</v>
      </c>
      <c r="K17" s="501">
        <v>475000</v>
      </c>
      <c r="L17" s="502">
        <v>475000</v>
      </c>
      <c r="M17" s="503"/>
      <c r="N17" s="501"/>
      <c r="O17" s="504"/>
      <c r="P17" s="500"/>
      <c r="Q17" s="501"/>
      <c r="R17" s="502"/>
      <c r="S17" s="503"/>
      <c r="T17" s="501"/>
      <c r="U17" s="504"/>
      <c r="V17" s="500"/>
      <c r="W17" s="501"/>
      <c r="X17" s="502"/>
      <c r="Y17" s="505">
        <f t="shared" si="6"/>
        <v>475000</v>
      </c>
      <c r="Z17" s="506">
        <f t="shared" si="6"/>
        <v>475000</v>
      </c>
      <c r="AA17" s="507">
        <f t="shared" si="6"/>
        <v>475000</v>
      </c>
      <c r="AB17" s="500"/>
      <c r="AC17" s="501"/>
      <c r="AD17" s="502"/>
      <c r="AE17" s="503"/>
      <c r="AF17" s="501"/>
      <c r="AG17" s="504"/>
      <c r="AH17" s="500"/>
      <c r="AI17" s="501"/>
      <c r="AJ17" s="502"/>
      <c r="AK17" s="503"/>
      <c r="AL17" s="501"/>
      <c r="AM17" s="504"/>
      <c r="AN17" s="500"/>
      <c r="AO17" s="501"/>
      <c r="AP17" s="502"/>
      <c r="AQ17" s="503"/>
      <c r="AR17" s="501"/>
      <c r="AS17" s="504"/>
      <c r="AT17" s="500"/>
      <c r="AU17" s="501"/>
      <c r="AV17" s="502"/>
      <c r="AW17" s="503"/>
      <c r="AX17" s="501"/>
      <c r="AY17" s="504"/>
      <c r="AZ17" s="500"/>
      <c r="BA17" s="501"/>
      <c r="BB17" s="502"/>
      <c r="BC17" s="503"/>
      <c r="BD17" s="501"/>
      <c r="BE17" s="504"/>
      <c r="BF17" s="500"/>
      <c r="BG17" s="501"/>
      <c r="BH17" s="502"/>
      <c r="BI17" s="503"/>
      <c r="BJ17" s="501"/>
      <c r="BK17" s="504"/>
      <c r="BL17" s="500"/>
      <c r="BM17" s="501"/>
      <c r="BN17" s="502"/>
      <c r="BO17" s="503"/>
      <c r="BP17" s="501"/>
      <c r="BQ17" s="504"/>
      <c r="BR17" s="513">
        <f t="shared" si="7"/>
        <v>475000</v>
      </c>
      <c r="BS17" s="514">
        <f t="shared" si="7"/>
        <v>475000</v>
      </c>
      <c r="BT17" s="515">
        <f t="shared" si="7"/>
        <v>475000</v>
      </c>
      <c r="BU17" s="516"/>
      <c r="BV17" s="517"/>
      <c r="BW17" s="518"/>
    </row>
    <row r="18" spans="1:75" ht="36">
      <c r="A18" s="519" t="s">
        <v>49</v>
      </c>
      <c r="B18" s="520">
        <v>11</v>
      </c>
      <c r="C18" s="520" t="s">
        <v>19</v>
      </c>
      <c r="D18" s="521">
        <v>3132</v>
      </c>
      <c r="E18" s="522" t="s">
        <v>52</v>
      </c>
      <c r="F18" s="523" t="s">
        <v>682</v>
      </c>
      <c r="G18" s="497">
        <f t="shared" si="5"/>
        <v>106500</v>
      </c>
      <c r="H18" s="498">
        <f t="shared" si="5"/>
        <v>106500</v>
      </c>
      <c r="I18" s="499">
        <f t="shared" si="5"/>
        <v>106500</v>
      </c>
      <c r="J18" s="500">
        <v>46500</v>
      </c>
      <c r="K18" s="501">
        <v>46500</v>
      </c>
      <c r="L18" s="502">
        <v>46500</v>
      </c>
      <c r="M18" s="503"/>
      <c r="N18" s="501"/>
      <c r="O18" s="504"/>
      <c r="P18" s="500"/>
      <c r="Q18" s="501"/>
      <c r="R18" s="502"/>
      <c r="S18" s="503"/>
      <c r="T18" s="501"/>
      <c r="U18" s="504"/>
      <c r="V18" s="500"/>
      <c r="W18" s="501"/>
      <c r="X18" s="502"/>
      <c r="Y18" s="505">
        <f t="shared" si="6"/>
        <v>46500</v>
      </c>
      <c r="Z18" s="506">
        <f t="shared" si="6"/>
        <v>46500</v>
      </c>
      <c r="AA18" s="507">
        <f t="shared" si="6"/>
        <v>46500</v>
      </c>
      <c r="AB18" s="500"/>
      <c r="AC18" s="501"/>
      <c r="AD18" s="502"/>
      <c r="AE18" s="503"/>
      <c r="AF18" s="501"/>
      <c r="AG18" s="504"/>
      <c r="AH18" s="500"/>
      <c r="AI18" s="501"/>
      <c r="AJ18" s="502"/>
      <c r="AK18" s="503"/>
      <c r="AL18" s="501"/>
      <c r="AM18" s="504"/>
      <c r="AN18" s="500"/>
      <c r="AO18" s="501"/>
      <c r="AP18" s="502"/>
      <c r="AQ18" s="503">
        <v>33000</v>
      </c>
      <c r="AR18" s="501">
        <v>33000</v>
      </c>
      <c r="AS18" s="504">
        <v>33000</v>
      </c>
      <c r="AT18" s="500"/>
      <c r="AU18" s="501"/>
      <c r="AV18" s="502"/>
      <c r="AW18" s="503"/>
      <c r="AX18" s="501"/>
      <c r="AY18" s="504"/>
      <c r="AZ18" s="500"/>
      <c r="BA18" s="501"/>
      <c r="BB18" s="502"/>
      <c r="BC18" s="503">
        <v>7000</v>
      </c>
      <c r="BD18" s="501">
        <v>7000</v>
      </c>
      <c r="BE18" s="504">
        <v>7000</v>
      </c>
      <c r="BF18" s="500"/>
      <c r="BG18" s="501"/>
      <c r="BH18" s="502"/>
      <c r="BI18" s="503">
        <v>20000</v>
      </c>
      <c r="BJ18" s="501">
        <v>20000</v>
      </c>
      <c r="BK18" s="504">
        <v>20000</v>
      </c>
      <c r="BL18" s="500"/>
      <c r="BM18" s="501"/>
      <c r="BN18" s="502"/>
      <c r="BO18" s="503"/>
      <c r="BP18" s="501"/>
      <c r="BQ18" s="504"/>
      <c r="BR18" s="513">
        <f t="shared" si="7"/>
        <v>106500</v>
      </c>
      <c r="BS18" s="514">
        <f t="shared" si="7"/>
        <v>106500</v>
      </c>
      <c r="BT18" s="515">
        <f t="shared" si="7"/>
        <v>106500</v>
      </c>
      <c r="BU18" s="516"/>
      <c r="BV18" s="517"/>
      <c r="BW18" s="518"/>
    </row>
    <row r="19" spans="1:75" ht="24">
      <c r="A19" s="519" t="s">
        <v>49</v>
      </c>
      <c r="B19" s="520">
        <v>11</v>
      </c>
      <c r="C19" s="520" t="s">
        <v>19</v>
      </c>
      <c r="D19" s="521">
        <v>3211</v>
      </c>
      <c r="E19" s="522" t="s">
        <v>60</v>
      </c>
      <c r="F19" s="523" t="s">
        <v>682</v>
      </c>
      <c r="G19" s="497">
        <f t="shared" si="5"/>
        <v>2070080</v>
      </c>
      <c r="H19" s="498">
        <f t="shared" si="5"/>
        <v>2055212</v>
      </c>
      <c r="I19" s="499">
        <f t="shared" si="5"/>
        <v>2057326</v>
      </c>
      <c r="J19" s="500">
        <v>206490</v>
      </c>
      <c r="K19" s="501">
        <v>206490</v>
      </c>
      <c r="L19" s="502">
        <v>206490</v>
      </c>
      <c r="M19" s="503">
        <v>55000</v>
      </c>
      <c r="N19" s="501">
        <v>55000</v>
      </c>
      <c r="O19" s="504">
        <v>55000</v>
      </c>
      <c r="P19" s="500">
        <v>30000</v>
      </c>
      <c r="Q19" s="501">
        <v>30000</v>
      </c>
      <c r="R19" s="502">
        <v>30000</v>
      </c>
      <c r="S19" s="503">
        <v>33000</v>
      </c>
      <c r="T19" s="501">
        <v>33000</v>
      </c>
      <c r="U19" s="504">
        <v>33000</v>
      </c>
      <c r="V19" s="500">
        <v>56500</v>
      </c>
      <c r="W19" s="501">
        <v>58600</v>
      </c>
      <c r="X19" s="502">
        <v>58600</v>
      </c>
      <c r="Y19" s="505">
        <f t="shared" si="6"/>
        <v>380990</v>
      </c>
      <c r="Z19" s="506">
        <f t="shared" si="6"/>
        <v>383090</v>
      </c>
      <c r="AA19" s="507">
        <f t="shared" si="6"/>
        <v>383090</v>
      </c>
      <c r="AB19" s="500"/>
      <c r="AC19" s="501"/>
      <c r="AD19" s="502"/>
      <c r="AE19" s="503">
        <v>200000</v>
      </c>
      <c r="AF19" s="501">
        <v>190000</v>
      </c>
      <c r="AG19" s="504">
        <v>190000</v>
      </c>
      <c r="AH19" s="500">
        <v>408904</v>
      </c>
      <c r="AI19" s="501">
        <v>401936</v>
      </c>
      <c r="AJ19" s="502">
        <v>404050</v>
      </c>
      <c r="AK19" s="503">
        <v>145000</v>
      </c>
      <c r="AL19" s="501">
        <v>145000</v>
      </c>
      <c r="AM19" s="504">
        <v>145000</v>
      </c>
      <c r="AN19" s="500">
        <v>106000</v>
      </c>
      <c r="AO19" s="501">
        <v>106000</v>
      </c>
      <c r="AP19" s="502">
        <v>106000</v>
      </c>
      <c r="AQ19" s="503">
        <v>417000</v>
      </c>
      <c r="AR19" s="501">
        <v>417000</v>
      </c>
      <c r="AS19" s="504">
        <v>417000</v>
      </c>
      <c r="AT19" s="500">
        <v>102500</v>
      </c>
      <c r="AU19" s="501">
        <v>102500</v>
      </c>
      <c r="AV19" s="502">
        <v>102500</v>
      </c>
      <c r="AW19" s="503"/>
      <c r="AX19" s="501"/>
      <c r="AY19" s="504"/>
      <c r="AZ19" s="500">
        <v>25000</v>
      </c>
      <c r="BA19" s="501">
        <v>25000</v>
      </c>
      <c r="BB19" s="502">
        <v>25000</v>
      </c>
      <c r="BC19" s="503">
        <v>31500</v>
      </c>
      <c r="BD19" s="501">
        <v>31500</v>
      </c>
      <c r="BE19" s="504">
        <v>31500</v>
      </c>
      <c r="BF19" s="500">
        <v>91000</v>
      </c>
      <c r="BG19" s="501">
        <v>91000</v>
      </c>
      <c r="BH19" s="502">
        <v>91000</v>
      </c>
      <c r="BI19" s="503">
        <v>34000</v>
      </c>
      <c r="BJ19" s="501">
        <v>34000</v>
      </c>
      <c r="BK19" s="504">
        <v>34000</v>
      </c>
      <c r="BL19" s="500">
        <v>128186</v>
      </c>
      <c r="BM19" s="501">
        <v>128186</v>
      </c>
      <c r="BN19" s="502">
        <v>128186</v>
      </c>
      <c r="BO19" s="503"/>
      <c r="BP19" s="501"/>
      <c r="BQ19" s="504"/>
      <c r="BR19" s="513">
        <f t="shared" si="7"/>
        <v>2070080</v>
      </c>
      <c r="BS19" s="514">
        <f t="shared" si="7"/>
        <v>2055212</v>
      </c>
      <c r="BT19" s="515">
        <f t="shared" si="7"/>
        <v>2057326</v>
      </c>
      <c r="BU19" s="516"/>
      <c r="BV19" s="517"/>
      <c r="BW19" s="518"/>
    </row>
    <row r="20" spans="1:75" ht="36">
      <c r="A20" s="519" t="s">
        <v>49</v>
      </c>
      <c r="B20" s="520">
        <v>11</v>
      </c>
      <c r="C20" s="520" t="s">
        <v>19</v>
      </c>
      <c r="D20" s="521">
        <v>3212</v>
      </c>
      <c r="E20" s="522" t="s">
        <v>754</v>
      </c>
      <c r="F20" s="523" t="s">
        <v>682</v>
      </c>
      <c r="G20" s="497">
        <f t="shared" si="5"/>
        <v>51250</v>
      </c>
      <c r="H20" s="498">
        <f t="shared" si="5"/>
        <v>51250</v>
      </c>
      <c r="I20" s="499">
        <f t="shared" si="5"/>
        <v>51250</v>
      </c>
      <c r="J20" s="500"/>
      <c r="K20" s="501"/>
      <c r="L20" s="502"/>
      <c r="M20" s="503"/>
      <c r="N20" s="501"/>
      <c r="O20" s="504"/>
      <c r="P20" s="500"/>
      <c r="Q20" s="501"/>
      <c r="R20" s="502"/>
      <c r="S20" s="503"/>
      <c r="T20" s="501"/>
      <c r="U20" s="504"/>
      <c r="V20" s="500"/>
      <c r="W20" s="501"/>
      <c r="X20" s="502"/>
      <c r="Y20" s="505">
        <f t="shared" si="6"/>
        <v>0</v>
      </c>
      <c r="Z20" s="506">
        <f t="shared" si="6"/>
        <v>0</v>
      </c>
      <c r="AA20" s="507">
        <f t="shared" si="6"/>
        <v>0</v>
      </c>
      <c r="AB20" s="500"/>
      <c r="AC20" s="501"/>
      <c r="AD20" s="502"/>
      <c r="AE20" s="503"/>
      <c r="AF20" s="501"/>
      <c r="AG20" s="504"/>
      <c r="AH20" s="500"/>
      <c r="AI20" s="501"/>
      <c r="AJ20" s="502"/>
      <c r="AK20" s="503"/>
      <c r="AL20" s="501"/>
      <c r="AM20" s="504"/>
      <c r="AN20" s="500"/>
      <c r="AO20" s="501"/>
      <c r="AP20" s="502"/>
      <c r="AQ20" s="503"/>
      <c r="AR20" s="501"/>
      <c r="AS20" s="504"/>
      <c r="AT20" s="500">
        <v>51250</v>
      </c>
      <c r="AU20" s="501">
        <v>51250</v>
      </c>
      <c r="AV20" s="502">
        <v>51250</v>
      </c>
      <c r="AW20" s="503"/>
      <c r="AX20" s="501"/>
      <c r="AY20" s="504"/>
      <c r="AZ20" s="500"/>
      <c r="BA20" s="501"/>
      <c r="BB20" s="502"/>
      <c r="BC20" s="503"/>
      <c r="BD20" s="501"/>
      <c r="BE20" s="504"/>
      <c r="BF20" s="500"/>
      <c r="BG20" s="501"/>
      <c r="BH20" s="502"/>
      <c r="BI20" s="503"/>
      <c r="BJ20" s="501"/>
      <c r="BK20" s="504"/>
      <c r="BL20" s="500"/>
      <c r="BM20" s="501"/>
      <c r="BN20" s="502"/>
      <c r="BO20" s="503"/>
      <c r="BP20" s="501"/>
      <c r="BQ20" s="504"/>
      <c r="BR20" s="513">
        <f t="shared" si="7"/>
        <v>51250</v>
      </c>
      <c r="BS20" s="514">
        <f t="shared" si="7"/>
        <v>51250</v>
      </c>
      <c r="BT20" s="515">
        <f t="shared" si="7"/>
        <v>51250</v>
      </c>
      <c r="BU20" s="516"/>
      <c r="BV20" s="517"/>
      <c r="BW20" s="518"/>
    </row>
    <row r="21" spans="1:75" ht="24">
      <c r="A21" s="519" t="s">
        <v>49</v>
      </c>
      <c r="B21" s="520">
        <v>11</v>
      </c>
      <c r="C21" s="520" t="s">
        <v>19</v>
      </c>
      <c r="D21" s="521">
        <v>3213</v>
      </c>
      <c r="E21" s="522" t="s">
        <v>64</v>
      </c>
      <c r="F21" s="523" t="s">
        <v>682</v>
      </c>
      <c r="G21" s="497">
        <f t="shared" si="5"/>
        <v>772211</v>
      </c>
      <c r="H21" s="498">
        <f t="shared" si="5"/>
        <v>774744</v>
      </c>
      <c r="I21" s="499">
        <f t="shared" si="5"/>
        <v>784744</v>
      </c>
      <c r="J21" s="500">
        <v>25000</v>
      </c>
      <c r="K21" s="501">
        <v>25000</v>
      </c>
      <c r="L21" s="502">
        <v>25000</v>
      </c>
      <c r="M21" s="503">
        <v>6000</v>
      </c>
      <c r="N21" s="501">
        <v>6000</v>
      </c>
      <c r="O21" s="504">
        <v>6000</v>
      </c>
      <c r="P21" s="500">
        <v>15000</v>
      </c>
      <c r="Q21" s="501">
        <v>15000</v>
      </c>
      <c r="R21" s="502">
        <v>15000</v>
      </c>
      <c r="S21" s="503">
        <v>10000</v>
      </c>
      <c r="T21" s="501">
        <v>10000</v>
      </c>
      <c r="U21" s="504">
        <v>10000</v>
      </c>
      <c r="V21" s="500">
        <v>14600</v>
      </c>
      <c r="W21" s="501">
        <v>15600</v>
      </c>
      <c r="X21" s="502">
        <v>15600</v>
      </c>
      <c r="Y21" s="505">
        <f t="shared" si="6"/>
        <v>70600</v>
      </c>
      <c r="Z21" s="506">
        <f t="shared" si="6"/>
        <v>71600</v>
      </c>
      <c r="AA21" s="507">
        <f t="shared" si="6"/>
        <v>71600</v>
      </c>
      <c r="AB21" s="500"/>
      <c r="AC21" s="501"/>
      <c r="AD21" s="502"/>
      <c r="AE21" s="503">
        <v>150000</v>
      </c>
      <c r="AF21" s="501">
        <v>140000</v>
      </c>
      <c r="AG21" s="504">
        <v>150000</v>
      </c>
      <c r="AH21" s="500">
        <v>115338</v>
      </c>
      <c r="AI21" s="501">
        <v>126871</v>
      </c>
      <c r="AJ21" s="502">
        <v>126871</v>
      </c>
      <c r="AK21" s="503">
        <v>114000</v>
      </c>
      <c r="AL21" s="501">
        <v>114000</v>
      </c>
      <c r="AM21" s="504">
        <v>114000</v>
      </c>
      <c r="AN21" s="500">
        <v>32000</v>
      </c>
      <c r="AO21" s="501">
        <v>32000</v>
      </c>
      <c r="AP21" s="502">
        <v>32000</v>
      </c>
      <c r="AQ21" s="503">
        <v>110000</v>
      </c>
      <c r="AR21" s="501">
        <v>110000</v>
      </c>
      <c r="AS21" s="504">
        <v>110000</v>
      </c>
      <c r="AT21" s="500"/>
      <c r="AU21" s="501"/>
      <c r="AV21" s="502"/>
      <c r="AW21" s="503">
        <v>35000</v>
      </c>
      <c r="AX21" s="501">
        <v>35000</v>
      </c>
      <c r="AY21" s="504">
        <v>35000</v>
      </c>
      <c r="AZ21" s="500">
        <v>12000</v>
      </c>
      <c r="BA21" s="501">
        <v>12000</v>
      </c>
      <c r="BB21" s="502">
        <v>12000</v>
      </c>
      <c r="BC21" s="503">
        <v>15000</v>
      </c>
      <c r="BD21" s="501">
        <v>15000</v>
      </c>
      <c r="BE21" s="504">
        <v>15000</v>
      </c>
      <c r="BF21" s="500">
        <v>55000</v>
      </c>
      <c r="BG21" s="501">
        <v>55000</v>
      </c>
      <c r="BH21" s="502">
        <v>55000</v>
      </c>
      <c r="BI21" s="503">
        <v>25000</v>
      </c>
      <c r="BJ21" s="501">
        <v>25000</v>
      </c>
      <c r="BK21" s="504">
        <v>25000</v>
      </c>
      <c r="BL21" s="500">
        <v>38273</v>
      </c>
      <c r="BM21" s="501">
        <v>38273</v>
      </c>
      <c r="BN21" s="502">
        <v>38273</v>
      </c>
      <c r="BO21" s="503"/>
      <c r="BP21" s="501"/>
      <c r="BQ21" s="504"/>
      <c r="BR21" s="513">
        <f t="shared" si="7"/>
        <v>772211</v>
      </c>
      <c r="BS21" s="514">
        <f t="shared" si="7"/>
        <v>774744</v>
      </c>
      <c r="BT21" s="515">
        <f t="shared" si="7"/>
        <v>784744</v>
      </c>
      <c r="BU21" s="516"/>
      <c r="BV21" s="517"/>
      <c r="BW21" s="518"/>
    </row>
    <row r="22" spans="1:75" ht="36">
      <c r="A22" s="519" t="s">
        <v>49</v>
      </c>
      <c r="B22" s="520">
        <v>11</v>
      </c>
      <c r="C22" s="520" t="s">
        <v>19</v>
      </c>
      <c r="D22" s="521">
        <v>3221</v>
      </c>
      <c r="E22" s="522" t="s">
        <v>65</v>
      </c>
      <c r="F22" s="523" t="s">
        <v>682</v>
      </c>
      <c r="G22" s="497">
        <f t="shared" si="5"/>
        <v>2508806</v>
      </c>
      <c r="H22" s="498">
        <f t="shared" si="5"/>
        <v>2412663</v>
      </c>
      <c r="I22" s="499">
        <f t="shared" si="5"/>
        <v>2208321</v>
      </c>
      <c r="J22" s="500">
        <v>250000</v>
      </c>
      <c r="K22" s="501">
        <v>250000</v>
      </c>
      <c r="L22" s="502">
        <v>250000</v>
      </c>
      <c r="M22" s="503">
        <v>110934</v>
      </c>
      <c r="N22" s="501">
        <v>110934</v>
      </c>
      <c r="O22" s="504">
        <v>110934</v>
      </c>
      <c r="P22" s="500">
        <v>10000</v>
      </c>
      <c r="Q22" s="501">
        <v>10000</v>
      </c>
      <c r="R22" s="502">
        <v>10000</v>
      </c>
      <c r="S22" s="503">
        <v>120000</v>
      </c>
      <c r="T22" s="501">
        <v>120000</v>
      </c>
      <c r="U22" s="504">
        <v>120000</v>
      </c>
      <c r="V22" s="500">
        <v>26400</v>
      </c>
      <c r="W22" s="501">
        <v>29300</v>
      </c>
      <c r="X22" s="502">
        <v>2900</v>
      </c>
      <c r="Y22" s="505">
        <f t="shared" si="6"/>
        <v>517334</v>
      </c>
      <c r="Z22" s="506">
        <f t="shared" si="6"/>
        <v>520234</v>
      </c>
      <c r="AA22" s="507">
        <f t="shared" si="6"/>
        <v>493834</v>
      </c>
      <c r="AB22" s="500">
        <v>44690</v>
      </c>
      <c r="AC22" s="501">
        <v>44690</v>
      </c>
      <c r="AD22" s="502">
        <v>44690</v>
      </c>
      <c r="AE22" s="503">
        <v>400000</v>
      </c>
      <c r="AF22" s="501">
        <v>390000</v>
      </c>
      <c r="AG22" s="504">
        <v>300000</v>
      </c>
      <c r="AH22" s="500">
        <v>68340</v>
      </c>
      <c r="AI22" s="501">
        <v>79295</v>
      </c>
      <c r="AJ22" s="502">
        <v>79295</v>
      </c>
      <c r="AK22" s="503">
        <v>210421</v>
      </c>
      <c r="AL22" s="501">
        <v>110423</v>
      </c>
      <c r="AM22" s="504">
        <v>22481</v>
      </c>
      <c r="AN22" s="500">
        <v>318000</v>
      </c>
      <c r="AO22" s="501">
        <v>318000</v>
      </c>
      <c r="AP22" s="502">
        <v>318000</v>
      </c>
      <c r="AQ22" s="503">
        <v>140000</v>
      </c>
      <c r="AR22" s="501">
        <v>140000</v>
      </c>
      <c r="AS22" s="504">
        <v>140000</v>
      </c>
      <c r="AT22" s="500">
        <v>234085</v>
      </c>
      <c r="AU22" s="501">
        <v>234085</v>
      </c>
      <c r="AV22" s="502">
        <v>234085</v>
      </c>
      <c r="AW22" s="503">
        <v>90000</v>
      </c>
      <c r="AX22" s="501">
        <v>90000</v>
      </c>
      <c r="AY22" s="504">
        <v>90000</v>
      </c>
      <c r="AZ22" s="500">
        <v>25000</v>
      </c>
      <c r="BA22" s="501">
        <v>25000</v>
      </c>
      <c r="BB22" s="502">
        <v>25000</v>
      </c>
      <c r="BC22" s="503">
        <v>41000</v>
      </c>
      <c r="BD22" s="501">
        <v>41000</v>
      </c>
      <c r="BE22" s="504">
        <v>41000</v>
      </c>
      <c r="BF22" s="500">
        <v>280355</v>
      </c>
      <c r="BG22" s="501">
        <v>280355</v>
      </c>
      <c r="BH22" s="502">
        <v>280355</v>
      </c>
      <c r="BI22" s="503">
        <v>75000</v>
      </c>
      <c r="BJ22" s="501">
        <v>75000</v>
      </c>
      <c r="BK22" s="504">
        <v>75000</v>
      </c>
      <c r="BL22" s="500">
        <v>64581</v>
      </c>
      <c r="BM22" s="501">
        <v>64581</v>
      </c>
      <c r="BN22" s="502">
        <v>64581</v>
      </c>
      <c r="BO22" s="503"/>
      <c r="BP22" s="501"/>
      <c r="BQ22" s="504"/>
      <c r="BR22" s="513">
        <f t="shared" si="7"/>
        <v>2508806</v>
      </c>
      <c r="BS22" s="514">
        <f t="shared" si="7"/>
        <v>2412663</v>
      </c>
      <c r="BT22" s="515">
        <f t="shared" si="7"/>
        <v>2208321</v>
      </c>
      <c r="BU22" s="516"/>
      <c r="BV22" s="517"/>
      <c r="BW22" s="518"/>
    </row>
    <row r="23" spans="1:75" ht="24">
      <c r="A23" s="519" t="s">
        <v>49</v>
      </c>
      <c r="B23" s="520">
        <v>11</v>
      </c>
      <c r="C23" s="520" t="s">
        <v>19</v>
      </c>
      <c r="D23" s="521">
        <v>3222</v>
      </c>
      <c r="E23" s="522" t="s">
        <v>76</v>
      </c>
      <c r="F23" s="523" t="s">
        <v>682</v>
      </c>
      <c r="G23" s="497">
        <f t="shared" si="5"/>
        <v>671090</v>
      </c>
      <c r="H23" s="498">
        <f t="shared" si="5"/>
        <v>643356</v>
      </c>
      <c r="I23" s="499">
        <f t="shared" si="5"/>
        <v>666366</v>
      </c>
      <c r="J23" s="500"/>
      <c r="K23" s="501"/>
      <c r="L23" s="502"/>
      <c r="M23" s="503"/>
      <c r="N23" s="501"/>
      <c r="O23" s="504"/>
      <c r="P23" s="500"/>
      <c r="Q23" s="501"/>
      <c r="R23" s="502"/>
      <c r="S23" s="503"/>
      <c r="T23" s="501"/>
      <c r="U23" s="504"/>
      <c r="V23" s="500"/>
      <c r="W23" s="501"/>
      <c r="X23" s="502"/>
      <c r="Y23" s="505">
        <f t="shared" si="6"/>
        <v>0</v>
      </c>
      <c r="Z23" s="506">
        <f t="shared" si="6"/>
        <v>0</v>
      </c>
      <c r="AA23" s="507">
        <f t="shared" si="6"/>
        <v>0</v>
      </c>
      <c r="AB23" s="500"/>
      <c r="AC23" s="501"/>
      <c r="AD23" s="502"/>
      <c r="AE23" s="503"/>
      <c r="AF23" s="501"/>
      <c r="AG23" s="504"/>
      <c r="AH23" s="500">
        <v>264899</v>
      </c>
      <c r="AI23" s="501">
        <v>237165</v>
      </c>
      <c r="AJ23" s="502">
        <v>260175</v>
      </c>
      <c r="AK23" s="503"/>
      <c r="AL23" s="501"/>
      <c r="AM23" s="504"/>
      <c r="AN23" s="500">
        <v>5300</v>
      </c>
      <c r="AO23" s="501">
        <v>5300</v>
      </c>
      <c r="AP23" s="502">
        <v>5300</v>
      </c>
      <c r="AQ23" s="503"/>
      <c r="AR23" s="501"/>
      <c r="AS23" s="504"/>
      <c r="AT23" s="500">
        <v>40755</v>
      </c>
      <c r="AU23" s="501">
        <v>40755</v>
      </c>
      <c r="AV23" s="502">
        <v>40755</v>
      </c>
      <c r="AW23" s="503"/>
      <c r="AX23" s="501"/>
      <c r="AY23" s="504"/>
      <c r="AZ23" s="500"/>
      <c r="BA23" s="501"/>
      <c r="BB23" s="502"/>
      <c r="BC23" s="503"/>
      <c r="BD23" s="501"/>
      <c r="BE23" s="504"/>
      <c r="BF23" s="500"/>
      <c r="BG23" s="501"/>
      <c r="BH23" s="502"/>
      <c r="BI23" s="503"/>
      <c r="BJ23" s="501"/>
      <c r="BK23" s="504"/>
      <c r="BL23" s="500">
        <v>360136</v>
      </c>
      <c r="BM23" s="501">
        <v>360136</v>
      </c>
      <c r="BN23" s="502">
        <v>360136</v>
      </c>
      <c r="BO23" s="503"/>
      <c r="BP23" s="501"/>
      <c r="BQ23" s="504"/>
      <c r="BR23" s="513">
        <f t="shared" si="7"/>
        <v>671090</v>
      </c>
      <c r="BS23" s="514">
        <f t="shared" si="7"/>
        <v>643356</v>
      </c>
      <c r="BT23" s="515">
        <f t="shared" si="7"/>
        <v>666366</v>
      </c>
      <c r="BU23" s="516"/>
      <c r="BV23" s="517"/>
      <c r="BW23" s="518"/>
    </row>
    <row r="24" spans="1:75" ht="24">
      <c r="A24" s="519" t="s">
        <v>49</v>
      </c>
      <c r="B24" s="520">
        <v>11</v>
      </c>
      <c r="C24" s="520" t="s">
        <v>19</v>
      </c>
      <c r="D24" s="521">
        <v>3223</v>
      </c>
      <c r="E24" s="522" t="s">
        <v>77</v>
      </c>
      <c r="F24" s="523" t="s">
        <v>682</v>
      </c>
      <c r="G24" s="497">
        <f t="shared" si="5"/>
        <v>7765964</v>
      </c>
      <c r="H24" s="498">
        <f t="shared" si="5"/>
        <v>8005050</v>
      </c>
      <c r="I24" s="499">
        <f t="shared" si="5"/>
        <v>8011843</v>
      </c>
      <c r="J24" s="500">
        <v>1400000</v>
      </c>
      <c r="K24" s="501">
        <v>1400000</v>
      </c>
      <c r="L24" s="502">
        <v>1400000</v>
      </c>
      <c r="M24" s="503">
        <v>35000</v>
      </c>
      <c r="N24" s="501">
        <v>35000</v>
      </c>
      <c r="O24" s="504">
        <v>35000</v>
      </c>
      <c r="P24" s="500">
        <v>55000</v>
      </c>
      <c r="Q24" s="501">
        <v>55000</v>
      </c>
      <c r="R24" s="502">
        <v>55000</v>
      </c>
      <c r="S24" s="503">
        <v>105200</v>
      </c>
      <c r="T24" s="501">
        <v>105200</v>
      </c>
      <c r="U24" s="504">
        <v>105200</v>
      </c>
      <c r="V24" s="500">
        <v>205600</v>
      </c>
      <c r="W24" s="501">
        <v>210300</v>
      </c>
      <c r="X24" s="502">
        <v>210300</v>
      </c>
      <c r="Y24" s="505">
        <f t="shared" si="6"/>
        <v>1800800</v>
      </c>
      <c r="Z24" s="506">
        <f t="shared" si="6"/>
        <v>1805500</v>
      </c>
      <c r="AA24" s="507">
        <f t="shared" si="6"/>
        <v>1805500</v>
      </c>
      <c r="AB24" s="500">
        <v>350000</v>
      </c>
      <c r="AC24" s="501">
        <v>350000</v>
      </c>
      <c r="AD24" s="502">
        <v>350000</v>
      </c>
      <c r="AE24" s="503">
        <v>600000</v>
      </c>
      <c r="AF24" s="501">
        <v>600000</v>
      </c>
      <c r="AG24" s="504">
        <v>610000</v>
      </c>
      <c r="AH24" s="500">
        <f>839944-126776</f>
        <v>713168</v>
      </c>
      <c r="AI24" s="501">
        <f>831536+135518</f>
        <v>967054</v>
      </c>
      <c r="AJ24" s="502">
        <f>822329+135518</f>
        <v>957847</v>
      </c>
      <c r="AK24" s="503">
        <v>484036</v>
      </c>
      <c r="AL24" s="501">
        <v>484036</v>
      </c>
      <c r="AM24" s="504">
        <v>484036</v>
      </c>
      <c r="AN24" s="500">
        <v>640000</v>
      </c>
      <c r="AO24" s="501">
        <v>640000</v>
      </c>
      <c r="AP24" s="502">
        <v>640000</v>
      </c>
      <c r="AQ24" s="503">
        <v>493000</v>
      </c>
      <c r="AR24" s="501">
        <v>493000</v>
      </c>
      <c r="AS24" s="504">
        <v>493000</v>
      </c>
      <c r="AT24" s="500">
        <v>397100</v>
      </c>
      <c r="AU24" s="501">
        <v>397100</v>
      </c>
      <c r="AV24" s="502">
        <v>397100</v>
      </c>
      <c r="AW24" s="503">
        <v>840000</v>
      </c>
      <c r="AX24" s="501">
        <v>840000</v>
      </c>
      <c r="AY24" s="504">
        <v>840000</v>
      </c>
      <c r="AZ24" s="500">
        <v>120000</v>
      </c>
      <c r="BA24" s="501">
        <v>100000</v>
      </c>
      <c r="BB24" s="502">
        <v>100000</v>
      </c>
      <c r="BC24" s="503">
        <v>200</v>
      </c>
      <c r="BD24" s="501">
        <v>200</v>
      </c>
      <c r="BE24" s="504">
        <v>200</v>
      </c>
      <c r="BF24" s="500">
        <v>150000</v>
      </c>
      <c r="BG24" s="501">
        <v>150000</v>
      </c>
      <c r="BH24" s="502">
        <v>150000</v>
      </c>
      <c r="BI24" s="503">
        <v>241000</v>
      </c>
      <c r="BJ24" s="501">
        <v>241000</v>
      </c>
      <c r="BK24" s="504">
        <v>241000</v>
      </c>
      <c r="BL24" s="500">
        <v>708160</v>
      </c>
      <c r="BM24" s="501">
        <v>708160</v>
      </c>
      <c r="BN24" s="502">
        <v>708160</v>
      </c>
      <c r="BO24" s="503">
        <v>228500</v>
      </c>
      <c r="BP24" s="501">
        <v>229000</v>
      </c>
      <c r="BQ24" s="504">
        <v>235000</v>
      </c>
      <c r="BR24" s="513">
        <f t="shared" si="7"/>
        <v>7765964</v>
      </c>
      <c r="BS24" s="514">
        <f t="shared" si="7"/>
        <v>8005050</v>
      </c>
      <c r="BT24" s="515">
        <f t="shared" si="7"/>
        <v>8011843</v>
      </c>
      <c r="BU24" s="516"/>
      <c r="BV24" s="517"/>
      <c r="BW24" s="518"/>
    </row>
    <row r="25" spans="1:75" ht="36">
      <c r="A25" s="519" t="s">
        <v>49</v>
      </c>
      <c r="B25" s="520">
        <v>11</v>
      </c>
      <c r="C25" s="520" t="s">
        <v>19</v>
      </c>
      <c r="D25" s="521">
        <v>3224</v>
      </c>
      <c r="E25" s="522" t="s">
        <v>61</v>
      </c>
      <c r="F25" s="523" t="s">
        <v>682</v>
      </c>
      <c r="G25" s="497">
        <f t="shared" si="5"/>
        <v>850063</v>
      </c>
      <c r="H25" s="498">
        <f t="shared" si="5"/>
        <v>838337</v>
      </c>
      <c r="I25" s="499">
        <f t="shared" si="5"/>
        <v>822624</v>
      </c>
      <c r="J25" s="500">
        <v>20000</v>
      </c>
      <c r="K25" s="501">
        <v>20000</v>
      </c>
      <c r="L25" s="502">
        <v>20000</v>
      </c>
      <c r="M25" s="503">
        <v>30000</v>
      </c>
      <c r="N25" s="501">
        <v>30000</v>
      </c>
      <c r="O25" s="504">
        <v>30000</v>
      </c>
      <c r="P25" s="500"/>
      <c r="Q25" s="501"/>
      <c r="R25" s="502"/>
      <c r="S25" s="503"/>
      <c r="T25" s="501"/>
      <c r="U25" s="504"/>
      <c r="V25" s="500">
        <v>36500</v>
      </c>
      <c r="W25" s="501">
        <v>38400</v>
      </c>
      <c r="X25" s="502">
        <v>38400</v>
      </c>
      <c r="Y25" s="505">
        <f t="shared" si="6"/>
        <v>86500</v>
      </c>
      <c r="Z25" s="506">
        <f t="shared" si="6"/>
        <v>88400</v>
      </c>
      <c r="AA25" s="507">
        <f t="shared" si="6"/>
        <v>88400</v>
      </c>
      <c r="AB25" s="500">
        <v>38500</v>
      </c>
      <c r="AC25" s="501">
        <v>38500</v>
      </c>
      <c r="AD25" s="502">
        <v>38500</v>
      </c>
      <c r="AE25" s="503">
        <v>100000</v>
      </c>
      <c r="AF25" s="501">
        <v>80000</v>
      </c>
      <c r="AG25" s="504">
        <v>70000</v>
      </c>
      <c r="AH25" s="500">
        <v>264899</v>
      </c>
      <c r="AI25" s="501">
        <v>269888</v>
      </c>
      <c r="AJ25" s="502">
        <v>260175</v>
      </c>
      <c r="AK25" s="503"/>
      <c r="AL25" s="501"/>
      <c r="AM25" s="504"/>
      <c r="AN25" s="500">
        <v>240000</v>
      </c>
      <c r="AO25" s="501">
        <v>240000</v>
      </c>
      <c r="AP25" s="502">
        <v>240000</v>
      </c>
      <c r="AQ25" s="503"/>
      <c r="AR25" s="501"/>
      <c r="AS25" s="504"/>
      <c r="AT25" s="500">
        <v>30949</v>
      </c>
      <c r="AU25" s="501">
        <v>30949</v>
      </c>
      <c r="AV25" s="502">
        <v>30949</v>
      </c>
      <c r="AW25" s="503">
        <v>15000</v>
      </c>
      <c r="AX25" s="501">
        <v>15000</v>
      </c>
      <c r="AY25" s="504">
        <v>15000</v>
      </c>
      <c r="AZ25" s="500"/>
      <c r="BA25" s="501"/>
      <c r="BB25" s="502"/>
      <c r="BC25" s="503"/>
      <c r="BD25" s="501"/>
      <c r="BE25" s="504"/>
      <c r="BF25" s="500">
        <v>5000</v>
      </c>
      <c r="BG25" s="501">
        <v>5000</v>
      </c>
      <c r="BH25" s="502">
        <v>5000</v>
      </c>
      <c r="BI25" s="503">
        <v>20000</v>
      </c>
      <c r="BJ25" s="501">
        <v>20000</v>
      </c>
      <c r="BK25" s="504">
        <v>20000</v>
      </c>
      <c r="BL25" s="500">
        <v>22100</v>
      </c>
      <c r="BM25" s="501">
        <v>22100</v>
      </c>
      <c r="BN25" s="502">
        <v>22100</v>
      </c>
      <c r="BO25" s="503">
        <v>27115</v>
      </c>
      <c r="BP25" s="501">
        <v>28500</v>
      </c>
      <c r="BQ25" s="504">
        <v>32500</v>
      </c>
      <c r="BR25" s="513">
        <f t="shared" si="7"/>
        <v>850063</v>
      </c>
      <c r="BS25" s="514">
        <f t="shared" si="7"/>
        <v>838337</v>
      </c>
      <c r="BT25" s="515">
        <f t="shared" si="7"/>
        <v>822624</v>
      </c>
      <c r="BU25" s="516"/>
      <c r="BV25" s="517"/>
      <c r="BW25" s="518"/>
    </row>
    <row r="26" spans="1:75" ht="24">
      <c r="A26" s="519" t="s">
        <v>49</v>
      </c>
      <c r="B26" s="520">
        <v>11</v>
      </c>
      <c r="C26" s="520" t="s">
        <v>19</v>
      </c>
      <c r="D26" s="521">
        <v>3225</v>
      </c>
      <c r="E26" s="522" t="s">
        <v>78</v>
      </c>
      <c r="F26" s="523" t="s">
        <v>682</v>
      </c>
      <c r="G26" s="497">
        <f t="shared" si="5"/>
        <v>182500</v>
      </c>
      <c r="H26" s="498">
        <f t="shared" si="5"/>
        <v>183000</v>
      </c>
      <c r="I26" s="499">
        <f t="shared" si="5"/>
        <v>183000</v>
      </c>
      <c r="J26" s="500">
        <v>15000</v>
      </c>
      <c r="K26" s="501">
        <v>15000</v>
      </c>
      <c r="L26" s="502">
        <v>15000</v>
      </c>
      <c r="M26" s="503">
        <v>27000</v>
      </c>
      <c r="N26" s="501">
        <v>27000</v>
      </c>
      <c r="O26" s="504">
        <v>27000</v>
      </c>
      <c r="P26" s="500"/>
      <c r="Q26" s="501"/>
      <c r="R26" s="502"/>
      <c r="S26" s="503">
        <v>9000</v>
      </c>
      <c r="T26" s="501">
        <v>9000</v>
      </c>
      <c r="U26" s="504">
        <v>9000</v>
      </c>
      <c r="V26" s="500">
        <v>18000</v>
      </c>
      <c r="W26" s="501">
        <v>18500</v>
      </c>
      <c r="X26" s="502">
        <v>18500</v>
      </c>
      <c r="Y26" s="505">
        <f t="shared" si="6"/>
        <v>69000</v>
      </c>
      <c r="Z26" s="506">
        <f t="shared" si="6"/>
        <v>69500</v>
      </c>
      <c r="AA26" s="507">
        <f t="shared" si="6"/>
        <v>69500</v>
      </c>
      <c r="AB26" s="500"/>
      <c r="AC26" s="501"/>
      <c r="AD26" s="502"/>
      <c r="AE26" s="503">
        <v>10000</v>
      </c>
      <c r="AF26" s="501">
        <v>10000</v>
      </c>
      <c r="AG26" s="504">
        <v>10000</v>
      </c>
      <c r="AH26" s="500"/>
      <c r="AI26" s="501"/>
      <c r="AJ26" s="502"/>
      <c r="AK26" s="503"/>
      <c r="AL26" s="501"/>
      <c r="AM26" s="504"/>
      <c r="AN26" s="500">
        <v>53000</v>
      </c>
      <c r="AO26" s="501">
        <v>53000</v>
      </c>
      <c r="AP26" s="502">
        <v>53000</v>
      </c>
      <c r="AQ26" s="503"/>
      <c r="AR26" s="501"/>
      <c r="AS26" s="504"/>
      <c r="AT26" s="500"/>
      <c r="AU26" s="501"/>
      <c r="AV26" s="502"/>
      <c r="AW26" s="503">
        <v>20000</v>
      </c>
      <c r="AX26" s="501">
        <v>20000</v>
      </c>
      <c r="AY26" s="504">
        <v>20000</v>
      </c>
      <c r="AZ26" s="500"/>
      <c r="BA26" s="501"/>
      <c r="BB26" s="502"/>
      <c r="BC26" s="503">
        <v>5500</v>
      </c>
      <c r="BD26" s="501">
        <v>5500</v>
      </c>
      <c r="BE26" s="504">
        <v>5500</v>
      </c>
      <c r="BF26" s="500">
        <v>5000</v>
      </c>
      <c r="BG26" s="501">
        <v>5000</v>
      </c>
      <c r="BH26" s="502">
        <v>5000</v>
      </c>
      <c r="BI26" s="503"/>
      <c r="BJ26" s="501"/>
      <c r="BK26" s="504"/>
      <c r="BL26" s="500">
        <v>20000</v>
      </c>
      <c r="BM26" s="501">
        <v>20000</v>
      </c>
      <c r="BN26" s="502">
        <v>20000</v>
      </c>
      <c r="BO26" s="503"/>
      <c r="BP26" s="501"/>
      <c r="BQ26" s="504"/>
      <c r="BR26" s="513">
        <f t="shared" si="7"/>
        <v>182500</v>
      </c>
      <c r="BS26" s="514">
        <f t="shared" si="7"/>
        <v>183000</v>
      </c>
      <c r="BT26" s="515">
        <f t="shared" si="7"/>
        <v>183000</v>
      </c>
      <c r="BU26" s="516"/>
      <c r="BV26" s="517"/>
      <c r="BW26" s="518"/>
    </row>
    <row r="27" spans="1:75" ht="36">
      <c r="A27" s="519" t="s">
        <v>49</v>
      </c>
      <c r="B27" s="520">
        <v>11</v>
      </c>
      <c r="C27" s="520" t="s">
        <v>19</v>
      </c>
      <c r="D27" s="521">
        <v>3227</v>
      </c>
      <c r="E27" s="522" t="s">
        <v>89</v>
      </c>
      <c r="F27" s="523" t="s">
        <v>682</v>
      </c>
      <c r="G27" s="497">
        <f t="shared" si="5"/>
        <v>197825</v>
      </c>
      <c r="H27" s="498">
        <f t="shared" si="5"/>
        <v>187950</v>
      </c>
      <c r="I27" s="499">
        <f t="shared" si="5"/>
        <v>197950</v>
      </c>
      <c r="J27" s="500">
        <v>10000</v>
      </c>
      <c r="K27" s="501">
        <v>10000</v>
      </c>
      <c r="L27" s="502">
        <v>10000</v>
      </c>
      <c r="M27" s="503">
        <v>4000</v>
      </c>
      <c r="N27" s="501">
        <v>4000</v>
      </c>
      <c r="O27" s="504">
        <v>4000</v>
      </c>
      <c r="P27" s="500"/>
      <c r="Q27" s="501"/>
      <c r="R27" s="502"/>
      <c r="S27" s="503">
        <v>4000</v>
      </c>
      <c r="T27" s="501">
        <v>4000</v>
      </c>
      <c r="U27" s="504">
        <v>4000</v>
      </c>
      <c r="V27" s="500"/>
      <c r="W27" s="501"/>
      <c r="X27" s="502"/>
      <c r="Y27" s="505">
        <f t="shared" si="6"/>
        <v>18000</v>
      </c>
      <c r="Z27" s="506">
        <f t="shared" si="6"/>
        <v>18000</v>
      </c>
      <c r="AA27" s="507">
        <f t="shared" si="6"/>
        <v>18000</v>
      </c>
      <c r="AB27" s="500"/>
      <c r="AC27" s="501"/>
      <c r="AD27" s="502"/>
      <c r="AE27" s="503">
        <v>20000</v>
      </c>
      <c r="AF27" s="501">
        <v>10000</v>
      </c>
      <c r="AG27" s="504">
        <v>20000</v>
      </c>
      <c r="AH27" s="500">
        <v>10573</v>
      </c>
      <c r="AI27" s="501">
        <v>10573</v>
      </c>
      <c r="AJ27" s="502">
        <v>10573</v>
      </c>
      <c r="AK27" s="503">
        <v>90000</v>
      </c>
      <c r="AL27" s="501">
        <v>90125</v>
      </c>
      <c r="AM27" s="504">
        <v>90125</v>
      </c>
      <c r="AN27" s="500">
        <v>50000</v>
      </c>
      <c r="AO27" s="501">
        <v>50000</v>
      </c>
      <c r="AP27" s="502">
        <v>50000</v>
      </c>
      <c r="AQ27" s="503"/>
      <c r="AR27" s="501"/>
      <c r="AS27" s="504"/>
      <c r="AT27" s="500"/>
      <c r="AU27" s="501"/>
      <c r="AV27" s="502"/>
      <c r="AW27" s="503">
        <v>7000</v>
      </c>
      <c r="AX27" s="501">
        <v>7000</v>
      </c>
      <c r="AY27" s="504">
        <v>7000</v>
      </c>
      <c r="AZ27" s="500"/>
      <c r="BA27" s="501"/>
      <c r="BB27" s="502"/>
      <c r="BC27" s="503"/>
      <c r="BD27" s="501"/>
      <c r="BE27" s="504"/>
      <c r="BF27" s="500"/>
      <c r="BG27" s="501"/>
      <c r="BH27" s="502"/>
      <c r="BI27" s="503"/>
      <c r="BJ27" s="501"/>
      <c r="BK27" s="504"/>
      <c r="BL27" s="500">
        <v>2252</v>
      </c>
      <c r="BM27" s="501">
        <v>2252</v>
      </c>
      <c r="BN27" s="502">
        <v>2252</v>
      </c>
      <c r="BO27" s="503"/>
      <c r="BP27" s="501"/>
      <c r="BQ27" s="504"/>
      <c r="BR27" s="513">
        <f t="shared" si="7"/>
        <v>197825</v>
      </c>
      <c r="BS27" s="514">
        <f t="shared" si="7"/>
        <v>187950</v>
      </c>
      <c r="BT27" s="515">
        <f t="shared" si="7"/>
        <v>197950</v>
      </c>
      <c r="BU27" s="516"/>
      <c r="BV27" s="517"/>
      <c r="BW27" s="518"/>
    </row>
    <row r="28" spans="1:75" ht="24">
      <c r="A28" s="519" t="s">
        <v>49</v>
      </c>
      <c r="B28" s="520">
        <v>11</v>
      </c>
      <c r="C28" s="520" t="s">
        <v>19</v>
      </c>
      <c r="D28" s="521">
        <v>3231</v>
      </c>
      <c r="E28" s="522" t="s">
        <v>79</v>
      </c>
      <c r="F28" s="523" t="s">
        <v>682</v>
      </c>
      <c r="G28" s="497">
        <f t="shared" si="5"/>
        <v>1315645</v>
      </c>
      <c r="H28" s="498">
        <f t="shared" si="5"/>
        <v>1328217</v>
      </c>
      <c r="I28" s="499">
        <f t="shared" si="5"/>
        <v>1334275</v>
      </c>
      <c r="J28" s="500">
        <v>200000</v>
      </c>
      <c r="K28" s="501">
        <v>200000</v>
      </c>
      <c r="L28" s="502">
        <v>200000</v>
      </c>
      <c r="M28" s="503"/>
      <c r="N28" s="501"/>
      <c r="O28" s="504"/>
      <c r="P28" s="500">
        <v>10000</v>
      </c>
      <c r="Q28" s="501">
        <v>10000</v>
      </c>
      <c r="R28" s="502">
        <v>10000</v>
      </c>
      <c r="S28" s="503">
        <v>23000</v>
      </c>
      <c r="T28" s="501">
        <v>23000</v>
      </c>
      <c r="U28" s="504">
        <v>23000</v>
      </c>
      <c r="V28" s="500">
        <v>29400</v>
      </c>
      <c r="W28" s="501">
        <v>31200</v>
      </c>
      <c r="X28" s="502">
        <v>31200</v>
      </c>
      <c r="Y28" s="505">
        <f t="shared" si="6"/>
        <v>262400</v>
      </c>
      <c r="Z28" s="506">
        <f t="shared" si="6"/>
        <v>264200</v>
      </c>
      <c r="AA28" s="507">
        <f t="shared" si="6"/>
        <v>264200</v>
      </c>
      <c r="AB28" s="500">
        <v>65300</v>
      </c>
      <c r="AC28" s="501">
        <v>65300</v>
      </c>
      <c r="AD28" s="502">
        <v>65300</v>
      </c>
      <c r="AE28" s="503">
        <v>150000</v>
      </c>
      <c r="AF28" s="501">
        <v>150000</v>
      </c>
      <c r="AG28" s="504">
        <v>155000</v>
      </c>
      <c r="AH28" s="500">
        <v>74970</v>
      </c>
      <c r="AI28" s="501">
        <v>85638</v>
      </c>
      <c r="AJ28" s="502">
        <v>86696</v>
      </c>
      <c r="AK28" s="503">
        <v>195000</v>
      </c>
      <c r="AL28" s="501">
        <v>195104</v>
      </c>
      <c r="AM28" s="504">
        <v>195104</v>
      </c>
      <c r="AN28" s="500">
        <v>105000</v>
      </c>
      <c r="AO28" s="501">
        <v>105000</v>
      </c>
      <c r="AP28" s="502">
        <v>105000</v>
      </c>
      <c r="AQ28" s="503">
        <v>172000</v>
      </c>
      <c r="AR28" s="501">
        <v>172000</v>
      </c>
      <c r="AS28" s="504">
        <v>172000</v>
      </c>
      <c r="AT28" s="500">
        <v>112200</v>
      </c>
      <c r="AU28" s="501">
        <v>112200</v>
      </c>
      <c r="AV28" s="502">
        <v>112200</v>
      </c>
      <c r="AW28" s="503">
        <v>85000</v>
      </c>
      <c r="AX28" s="501">
        <v>85000</v>
      </c>
      <c r="AY28" s="504">
        <v>85000</v>
      </c>
      <c r="AZ28" s="500"/>
      <c r="BA28" s="501"/>
      <c r="BB28" s="502"/>
      <c r="BC28" s="503">
        <v>6000</v>
      </c>
      <c r="BD28" s="501">
        <v>6000</v>
      </c>
      <c r="BE28" s="504">
        <v>6000</v>
      </c>
      <c r="BF28" s="500">
        <v>1000</v>
      </c>
      <c r="BG28" s="501">
        <v>1000</v>
      </c>
      <c r="BH28" s="502">
        <v>1000</v>
      </c>
      <c r="BI28" s="503">
        <v>60000</v>
      </c>
      <c r="BJ28" s="501">
        <v>60000</v>
      </c>
      <c r="BK28" s="504">
        <v>60000</v>
      </c>
      <c r="BL28" s="500">
        <v>26775</v>
      </c>
      <c r="BM28" s="501">
        <v>26775</v>
      </c>
      <c r="BN28" s="502">
        <v>26775</v>
      </c>
      <c r="BO28" s="503"/>
      <c r="BP28" s="501"/>
      <c r="BQ28" s="504"/>
      <c r="BR28" s="513">
        <f t="shared" si="7"/>
        <v>1315645</v>
      </c>
      <c r="BS28" s="514">
        <f t="shared" si="7"/>
        <v>1328217</v>
      </c>
      <c r="BT28" s="515">
        <f t="shared" si="7"/>
        <v>1334275</v>
      </c>
      <c r="BU28" s="516"/>
      <c r="BV28" s="517"/>
      <c r="BW28" s="518"/>
    </row>
    <row r="29" spans="1:75" ht="36">
      <c r="A29" s="519" t="s">
        <v>49</v>
      </c>
      <c r="B29" s="520">
        <v>11</v>
      </c>
      <c r="C29" s="520" t="s">
        <v>19</v>
      </c>
      <c r="D29" s="521">
        <v>3232</v>
      </c>
      <c r="E29" s="522" t="s">
        <v>80</v>
      </c>
      <c r="F29" s="523" t="s">
        <v>682</v>
      </c>
      <c r="G29" s="497">
        <f t="shared" si="5"/>
        <v>2544159</v>
      </c>
      <c r="H29" s="498">
        <f t="shared" si="5"/>
        <v>2763250</v>
      </c>
      <c r="I29" s="499">
        <f t="shared" si="5"/>
        <v>2773250</v>
      </c>
      <c r="J29" s="500">
        <v>520000</v>
      </c>
      <c r="K29" s="501">
        <v>520000</v>
      </c>
      <c r="L29" s="502">
        <v>520000</v>
      </c>
      <c r="M29" s="503">
        <v>22000</v>
      </c>
      <c r="N29" s="501">
        <v>22000</v>
      </c>
      <c r="O29" s="504">
        <v>22000</v>
      </c>
      <c r="P29" s="500">
        <v>1000</v>
      </c>
      <c r="Q29" s="501">
        <v>1000</v>
      </c>
      <c r="R29" s="502">
        <v>1000</v>
      </c>
      <c r="S29" s="503">
        <v>30000</v>
      </c>
      <c r="T29" s="501">
        <v>30000</v>
      </c>
      <c r="U29" s="504">
        <v>30000</v>
      </c>
      <c r="V29" s="500">
        <v>46500</v>
      </c>
      <c r="W29" s="501">
        <v>48300</v>
      </c>
      <c r="X29" s="502">
        <v>48300</v>
      </c>
      <c r="Y29" s="505">
        <f t="shared" si="6"/>
        <v>619500</v>
      </c>
      <c r="Z29" s="506">
        <f t="shared" si="6"/>
        <v>621300</v>
      </c>
      <c r="AA29" s="507">
        <f t="shared" si="6"/>
        <v>621300</v>
      </c>
      <c r="AB29" s="500">
        <v>50300</v>
      </c>
      <c r="AC29" s="501">
        <v>50300</v>
      </c>
      <c r="AD29" s="502">
        <v>50300</v>
      </c>
      <c r="AE29" s="503">
        <v>30000</v>
      </c>
      <c r="AF29" s="501">
        <v>30000</v>
      </c>
      <c r="AG29" s="504">
        <v>50000</v>
      </c>
      <c r="AH29" s="500">
        <v>245093</v>
      </c>
      <c r="AI29" s="501">
        <v>244316</v>
      </c>
      <c r="AJ29" s="502">
        <v>244316</v>
      </c>
      <c r="AK29" s="503"/>
      <c r="AL29" s="501"/>
      <c r="AM29" s="504"/>
      <c r="AN29" s="500">
        <v>410427</v>
      </c>
      <c r="AO29" s="501">
        <v>410427</v>
      </c>
      <c r="AP29" s="502">
        <v>410427</v>
      </c>
      <c r="AQ29" s="503">
        <v>40000</v>
      </c>
      <c r="AR29" s="501">
        <v>40000</v>
      </c>
      <c r="AS29" s="504">
        <v>40000</v>
      </c>
      <c r="AT29" s="500">
        <v>155150</v>
      </c>
      <c r="AU29" s="501">
        <v>155150</v>
      </c>
      <c r="AV29" s="502">
        <v>155150</v>
      </c>
      <c r="AW29" s="503">
        <f>625000-90827</f>
        <v>534173</v>
      </c>
      <c r="AX29" s="501">
        <f>625000+97091</f>
        <v>722091</v>
      </c>
      <c r="AY29" s="504">
        <f>625000+97091</f>
        <v>722091</v>
      </c>
      <c r="AZ29" s="500"/>
      <c r="BA29" s="501"/>
      <c r="BB29" s="502"/>
      <c r="BC29" s="503">
        <v>10000</v>
      </c>
      <c r="BD29" s="501">
        <v>10000</v>
      </c>
      <c r="BE29" s="504">
        <v>10000</v>
      </c>
      <c r="BF29" s="500">
        <v>85000</v>
      </c>
      <c r="BG29" s="501">
        <v>85000</v>
      </c>
      <c r="BH29" s="502">
        <v>85000</v>
      </c>
      <c r="BI29" s="503"/>
      <c r="BJ29" s="501"/>
      <c r="BK29" s="504"/>
      <c r="BL29" s="500">
        <v>270000</v>
      </c>
      <c r="BM29" s="501">
        <v>270000</v>
      </c>
      <c r="BN29" s="502">
        <v>270000</v>
      </c>
      <c r="BO29" s="503">
        <f>110000-15484</f>
        <v>94516</v>
      </c>
      <c r="BP29" s="501">
        <f>108115+16551</f>
        <v>124666</v>
      </c>
      <c r="BQ29" s="504">
        <f>98115+16551</f>
        <v>114666</v>
      </c>
      <c r="BR29" s="513">
        <f t="shared" si="7"/>
        <v>2544159</v>
      </c>
      <c r="BS29" s="514">
        <f t="shared" si="7"/>
        <v>2763250</v>
      </c>
      <c r="BT29" s="515">
        <f t="shared" si="7"/>
        <v>2773250</v>
      </c>
      <c r="BU29" s="516"/>
      <c r="BV29" s="517"/>
      <c r="BW29" s="518"/>
    </row>
    <row r="30" spans="1:75" ht="24">
      <c r="A30" s="519" t="s">
        <v>49</v>
      </c>
      <c r="B30" s="520">
        <v>11</v>
      </c>
      <c r="C30" s="520" t="s">
        <v>19</v>
      </c>
      <c r="D30" s="521">
        <v>3233</v>
      </c>
      <c r="E30" s="522" t="s">
        <v>81</v>
      </c>
      <c r="F30" s="523" t="s">
        <v>682</v>
      </c>
      <c r="G30" s="497">
        <f t="shared" si="5"/>
        <v>799873</v>
      </c>
      <c r="H30" s="498">
        <f t="shared" si="5"/>
        <v>952239</v>
      </c>
      <c r="I30" s="499">
        <f t="shared" si="5"/>
        <v>942978</v>
      </c>
      <c r="J30" s="500">
        <v>110000</v>
      </c>
      <c r="K30" s="501">
        <v>110000</v>
      </c>
      <c r="L30" s="502">
        <v>110000</v>
      </c>
      <c r="M30" s="503"/>
      <c r="N30" s="501"/>
      <c r="O30" s="504"/>
      <c r="P30" s="500"/>
      <c r="Q30" s="501"/>
      <c r="R30" s="502"/>
      <c r="S30" s="503"/>
      <c r="T30" s="501"/>
      <c r="U30" s="504"/>
      <c r="V30" s="500">
        <v>19500</v>
      </c>
      <c r="W30" s="501">
        <v>19800</v>
      </c>
      <c r="X30" s="502">
        <v>19800</v>
      </c>
      <c r="Y30" s="505">
        <f t="shared" si="6"/>
        <v>129500</v>
      </c>
      <c r="Z30" s="506">
        <f t="shared" si="6"/>
        <v>129800</v>
      </c>
      <c r="AA30" s="507">
        <f t="shared" si="6"/>
        <v>129800</v>
      </c>
      <c r="AB30" s="500"/>
      <c r="AC30" s="501"/>
      <c r="AD30" s="502"/>
      <c r="AE30" s="503">
        <v>40000</v>
      </c>
      <c r="AF30" s="501">
        <v>40000</v>
      </c>
      <c r="AG30" s="504">
        <v>40000</v>
      </c>
      <c r="AH30" s="500">
        <v>62475</v>
      </c>
      <c r="AI30" s="501">
        <v>68722</v>
      </c>
      <c r="AJ30" s="502">
        <v>68722</v>
      </c>
      <c r="AK30" s="503"/>
      <c r="AL30" s="501"/>
      <c r="AM30" s="504"/>
      <c r="AN30" s="500">
        <v>170000</v>
      </c>
      <c r="AO30" s="501">
        <v>170000</v>
      </c>
      <c r="AP30" s="502">
        <v>170000</v>
      </c>
      <c r="AQ30" s="503">
        <v>130960</v>
      </c>
      <c r="AR30" s="501">
        <v>130960</v>
      </c>
      <c r="AS30" s="504">
        <v>130960</v>
      </c>
      <c r="AT30" s="500">
        <v>59850</v>
      </c>
      <c r="AU30" s="501">
        <v>59850</v>
      </c>
      <c r="AV30" s="502">
        <v>59850</v>
      </c>
      <c r="AW30" s="503"/>
      <c r="AX30" s="501"/>
      <c r="AY30" s="504"/>
      <c r="AZ30" s="500"/>
      <c r="BA30" s="501"/>
      <c r="BB30" s="502"/>
      <c r="BC30" s="503">
        <v>1000</v>
      </c>
      <c r="BD30" s="501">
        <v>1000</v>
      </c>
      <c r="BE30" s="504">
        <v>1000</v>
      </c>
      <c r="BF30" s="500">
        <v>30000</v>
      </c>
      <c r="BG30" s="501">
        <v>30000</v>
      </c>
      <c r="BH30" s="502">
        <v>30000</v>
      </c>
      <c r="BI30" s="503"/>
      <c r="BJ30" s="501"/>
      <c r="BK30" s="504"/>
      <c r="BL30" s="500">
        <f>249500-73412</f>
        <v>176088</v>
      </c>
      <c r="BM30" s="501">
        <f>249500+72407</f>
        <v>321907</v>
      </c>
      <c r="BN30" s="502">
        <f>249500+63146</f>
        <v>312646</v>
      </c>
      <c r="BO30" s="503"/>
      <c r="BP30" s="501"/>
      <c r="BQ30" s="504"/>
      <c r="BR30" s="513">
        <f t="shared" si="7"/>
        <v>799873</v>
      </c>
      <c r="BS30" s="514">
        <f t="shared" si="7"/>
        <v>952239</v>
      </c>
      <c r="BT30" s="515">
        <f t="shared" si="7"/>
        <v>942978</v>
      </c>
      <c r="BU30" s="516"/>
      <c r="BV30" s="517"/>
      <c r="BW30" s="518"/>
    </row>
    <row r="31" spans="1:75" ht="24">
      <c r="A31" s="519" t="s">
        <v>49</v>
      </c>
      <c r="B31" s="520">
        <v>11</v>
      </c>
      <c r="C31" s="520" t="s">
        <v>19</v>
      </c>
      <c r="D31" s="521">
        <v>3234</v>
      </c>
      <c r="E31" s="522" t="s">
        <v>87</v>
      </c>
      <c r="F31" s="523" t="s">
        <v>682</v>
      </c>
      <c r="G31" s="497">
        <f t="shared" si="5"/>
        <v>1248115</v>
      </c>
      <c r="H31" s="498">
        <f t="shared" si="5"/>
        <v>1249168</v>
      </c>
      <c r="I31" s="499">
        <f t="shared" si="5"/>
        <v>1249454</v>
      </c>
      <c r="J31" s="500">
        <v>120000</v>
      </c>
      <c r="K31" s="501">
        <v>120000</v>
      </c>
      <c r="L31" s="502">
        <v>120000</v>
      </c>
      <c r="M31" s="503"/>
      <c r="N31" s="501"/>
      <c r="O31" s="504"/>
      <c r="P31" s="500">
        <v>15000</v>
      </c>
      <c r="Q31" s="501">
        <v>15000</v>
      </c>
      <c r="R31" s="502">
        <v>15000</v>
      </c>
      <c r="S31" s="503">
        <v>30000</v>
      </c>
      <c r="T31" s="501">
        <v>30000</v>
      </c>
      <c r="U31" s="504">
        <v>30000</v>
      </c>
      <c r="V31" s="500">
        <v>34600</v>
      </c>
      <c r="W31" s="501">
        <v>37500</v>
      </c>
      <c r="X31" s="502">
        <v>37500</v>
      </c>
      <c r="Y31" s="505">
        <f t="shared" si="6"/>
        <v>199600</v>
      </c>
      <c r="Z31" s="506">
        <f t="shared" si="6"/>
        <v>202500</v>
      </c>
      <c r="AA31" s="507">
        <f t="shared" si="6"/>
        <v>202500</v>
      </c>
      <c r="AB31" s="500">
        <v>57600</v>
      </c>
      <c r="AC31" s="501">
        <v>57600</v>
      </c>
      <c r="AD31" s="502">
        <v>57600</v>
      </c>
      <c r="AE31" s="503">
        <v>100000</v>
      </c>
      <c r="AF31" s="501">
        <v>100000</v>
      </c>
      <c r="AG31" s="504">
        <v>105000</v>
      </c>
      <c r="AH31" s="500">
        <v>326760</v>
      </c>
      <c r="AI31" s="501">
        <v>324756</v>
      </c>
      <c r="AJ31" s="502">
        <v>320042</v>
      </c>
      <c r="AK31" s="503">
        <v>55000</v>
      </c>
      <c r="AL31" s="501">
        <v>55157</v>
      </c>
      <c r="AM31" s="504">
        <v>55157</v>
      </c>
      <c r="AN31" s="500">
        <v>106000</v>
      </c>
      <c r="AO31" s="501">
        <v>106000</v>
      </c>
      <c r="AP31" s="502">
        <v>106000</v>
      </c>
      <c r="AQ31" s="503">
        <v>102100</v>
      </c>
      <c r="AR31" s="501">
        <v>102100</v>
      </c>
      <c r="AS31" s="504">
        <v>102100</v>
      </c>
      <c r="AT31" s="500">
        <v>75900</v>
      </c>
      <c r="AU31" s="501">
        <v>75900</v>
      </c>
      <c r="AV31" s="502">
        <v>75900</v>
      </c>
      <c r="AW31" s="503">
        <v>90000</v>
      </c>
      <c r="AX31" s="501">
        <v>90000</v>
      </c>
      <c r="AY31" s="504">
        <v>90000</v>
      </c>
      <c r="AZ31" s="500"/>
      <c r="BA31" s="501"/>
      <c r="BB31" s="502"/>
      <c r="BC31" s="503">
        <v>2000</v>
      </c>
      <c r="BD31" s="501">
        <v>2000</v>
      </c>
      <c r="BE31" s="504">
        <v>2000</v>
      </c>
      <c r="BF31" s="500"/>
      <c r="BG31" s="501"/>
      <c r="BH31" s="502"/>
      <c r="BI31" s="503">
        <v>29000</v>
      </c>
      <c r="BJ31" s="501">
        <v>29000</v>
      </c>
      <c r="BK31" s="504">
        <v>29000</v>
      </c>
      <c r="BL31" s="500">
        <v>81155</v>
      </c>
      <c r="BM31" s="501">
        <v>81155</v>
      </c>
      <c r="BN31" s="502">
        <v>81155</v>
      </c>
      <c r="BO31" s="503">
        <v>23000</v>
      </c>
      <c r="BP31" s="501">
        <v>23000</v>
      </c>
      <c r="BQ31" s="504">
        <v>23000</v>
      </c>
      <c r="BR31" s="513">
        <f t="shared" si="7"/>
        <v>1248115</v>
      </c>
      <c r="BS31" s="514">
        <f t="shared" si="7"/>
        <v>1249168</v>
      </c>
      <c r="BT31" s="515">
        <f t="shared" si="7"/>
        <v>1249454</v>
      </c>
      <c r="BU31" s="516"/>
      <c r="BV31" s="517"/>
      <c r="BW31" s="518"/>
    </row>
    <row r="32" spans="1:75" ht="24">
      <c r="A32" s="519" t="s">
        <v>49</v>
      </c>
      <c r="B32" s="520">
        <v>11</v>
      </c>
      <c r="C32" s="520" t="s">
        <v>19</v>
      </c>
      <c r="D32" s="521">
        <v>3235</v>
      </c>
      <c r="E32" s="522" t="s">
        <v>88</v>
      </c>
      <c r="F32" s="523" t="s">
        <v>682</v>
      </c>
      <c r="G32" s="497">
        <f t="shared" si="5"/>
        <v>1400360</v>
      </c>
      <c r="H32" s="498">
        <f t="shared" si="5"/>
        <v>1383724</v>
      </c>
      <c r="I32" s="499">
        <f t="shared" si="5"/>
        <v>1383724</v>
      </c>
      <c r="J32" s="500">
        <v>210000</v>
      </c>
      <c r="K32" s="501">
        <v>210000</v>
      </c>
      <c r="L32" s="502">
        <v>210000</v>
      </c>
      <c r="M32" s="503">
        <v>16000</v>
      </c>
      <c r="N32" s="501">
        <v>16000</v>
      </c>
      <c r="O32" s="504">
        <v>16000</v>
      </c>
      <c r="P32" s="500"/>
      <c r="Q32" s="501"/>
      <c r="R32" s="502"/>
      <c r="S32" s="503">
        <v>28000</v>
      </c>
      <c r="T32" s="501">
        <v>28000</v>
      </c>
      <c r="U32" s="504">
        <v>28000</v>
      </c>
      <c r="V32" s="500"/>
      <c r="W32" s="501"/>
      <c r="X32" s="502"/>
      <c r="Y32" s="505">
        <f t="shared" si="6"/>
        <v>254000</v>
      </c>
      <c r="Z32" s="506">
        <f t="shared" si="6"/>
        <v>254000</v>
      </c>
      <c r="AA32" s="507">
        <f t="shared" si="6"/>
        <v>254000</v>
      </c>
      <c r="AB32" s="500">
        <v>68000</v>
      </c>
      <c r="AC32" s="501">
        <v>68000</v>
      </c>
      <c r="AD32" s="502">
        <v>68000</v>
      </c>
      <c r="AE32" s="503">
        <v>300000</v>
      </c>
      <c r="AF32" s="501">
        <v>280000</v>
      </c>
      <c r="AG32" s="504">
        <v>280000</v>
      </c>
      <c r="AH32" s="500">
        <v>12495</v>
      </c>
      <c r="AI32" s="501">
        <v>15859</v>
      </c>
      <c r="AJ32" s="502">
        <v>15859</v>
      </c>
      <c r="AK32" s="503"/>
      <c r="AL32" s="501"/>
      <c r="AM32" s="504"/>
      <c r="AN32" s="500">
        <v>215000</v>
      </c>
      <c r="AO32" s="501">
        <v>215000</v>
      </c>
      <c r="AP32" s="502">
        <v>215000</v>
      </c>
      <c r="AQ32" s="503">
        <v>117000</v>
      </c>
      <c r="AR32" s="501">
        <v>117000</v>
      </c>
      <c r="AS32" s="504">
        <v>117000</v>
      </c>
      <c r="AT32" s="500">
        <v>55460</v>
      </c>
      <c r="AU32" s="501">
        <v>55460</v>
      </c>
      <c r="AV32" s="502">
        <v>55460</v>
      </c>
      <c r="AW32" s="503">
        <v>128405</v>
      </c>
      <c r="AX32" s="501">
        <v>128405</v>
      </c>
      <c r="AY32" s="504">
        <v>128405</v>
      </c>
      <c r="AZ32" s="500"/>
      <c r="BA32" s="501"/>
      <c r="BB32" s="502"/>
      <c r="BC32" s="503">
        <v>71000</v>
      </c>
      <c r="BD32" s="501">
        <v>71000</v>
      </c>
      <c r="BE32" s="504">
        <v>71000</v>
      </c>
      <c r="BF32" s="500">
        <v>15000</v>
      </c>
      <c r="BG32" s="501">
        <v>15000</v>
      </c>
      <c r="BH32" s="502">
        <v>15000</v>
      </c>
      <c r="BI32" s="503">
        <v>153000</v>
      </c>
      <c r="BJ32" s="501">
        <v>153000</v>
      </c>
      <c r="BK32" s="504">
        <v>153000</v>
      </c>
      <c r="BL32" s="500">
        <v>11000</v>
      </c>
      <c r="BM32" s="501">
        <v>11000</v>
      </c>
      <c r="BN32" s="502">
        <v>11000</v>
      </c>
      <c r="BO32" s="503"/>
      <c r="BP32" s="501"/>
      <c r="BQ32" s="504"/>
      <c r="BR32" s="513">
        <f t="shared" si="7"/>
        <v>1400360</v>
      </c>
      <c r="BS32" s="514">
        <f t="shared" si="7"/>
        <v>1383724</v>
      </c>
      <c r="BT32" s="515">
        <f t="shared" si="7"/>
        <v>1383724</v>
      </c>
      <c r="BU32" s="516"/>
      <c r="BV32" s="517"/>
      <c r="BW32" s="518"/>
    </row>
    <row r="33" spans="1:75" ht="24">
      <c r="A33" s="519" t="s">
        <v>49</v>
      </c>
      <c r="B33" s="520">
        <v>11</v>
      </c>
      <c r="C33" s="520" t="s">
        <v>19</v>
      </c>
      <c r="D33" s="521">
        <v>3236</v>
      </c>
      <c r="E33" s="522" t="s">
        <v>54</v>
      </c>
      <c r="F33" s="523" t="s">
        <v>682</v>
      </c>
      <c r="G33" s="497">
        <f t="shared" si="5"/>
        <v>187842</v>
      </c>
      <c r="H33" s="498">
        <f t="shared" si="5"/>
        <v>187942</v>
      </c>
      <c r="I33" s="499">
        <f t="shared" si="5"/>
        <v>187942</v>
      </c>
      <c r="J33" s="500">
        <v>80000</v>
      </c>
      <c r="K33" s="501">
        <v>80000</v>
      </c>
      <c r="L33" s="502">
        <v>80000</v>
      </c>
      <c r="M33" s="503"/>
      <c r="N33" s="501"/>
      <c r="O33" s="504"/>
      <c r="P33" s="500"/>
      <c r="Q33" s="501"/>
      <c r="R33" s="502"/>
      <c r="S33" s="503"/>
      <c r="T33" s="501"/>
      <c r="U33" s="504"/>
      <c r="V33" s="500"/>
      <c r="W33" s="501"/>
      <c r="X33" s="502"/>
      <c r="Y33" s="505">
        <f t="shared" si="6"/>
        <v>80000</v>
      </c>
      <c r="Z33" s="506">
        <f t="shared" si="6"/>
        <v>80000</v>
      </c>
      <c r="AA33" s="507">
        <f t="shared" si="6"/>
        <v>80000</v>
      </c>
      <c r="AB33" s="500"/>
      <c r="AC33" s="501"/>
      <c r="AD33" s="502"/>
      <c r="AE33" s="503"/>
      <c r="AF33" s="501"/>
      <c r="AG33" s="504"/>
      <c r="AH33" s="500"/>
      <c r="AI33" s="501"/>
      <c r="AJ33" s="502"/>
      <c r="AK33" s="503">
        <v>34900</v>
      </c>
      <c r="AL33" s="501">
        <v>35000</v>
      </c>
      <c r="AM33" s="504">
        <v>35000</v>
      </c>
      <c r="AN33" s="500">
        <v>0</v>
      </c>
      <c r="AO33" s="501">
        <v>0</v>
      </c>
      <c r="AP33" s="502">
        <v>0</v>
      </c>
      <c r="AQ33" s="503"/>
      <c r="AR33" s="501"/>
      <c r="AS33" s="504"/>
      <c r="AT33" s="500"/>
      <c r="AU33" s="501"/>
      <c r="AV33" s="502"/>
      <c r="AW33" s="503"/>
      <c r="AX33" s="501"/>
      <c r="AY33" s="504"/>
      <c r="AZ33" s="500"/>
      <c r="BA33" s="501"/>
      <c r="BB33" s="502"/>
      <c r="BC33" s="503"/>
      <c r="BD33" s="501"/>
      <c r="BE33" s="504"/>
      <c r="BF33" s="500"/>
      <c r="BG33" s="501"/>
      <c r="BH33" s="502"/>
      <c r="BI33" s="503"/>
      <c r="BJ33" s="501"/>
      <c r="BK33" s="504"/>
      <c r="BL33" s="500">
        <v>72942</v>
      </c>
      <c r="BM33" s="501">
        <v>72942</v>
      </c>
      <c r="BN33" s="502">
        <v>72942</v>
      </c>
      <c r="BO33" s="503"/>
      <c r="BP33" s="501"/>
      <c r="BQ33" s="504"/>
      <c r="BR33" s="513">
        <f t="shared" si="7"/>
        <v>187842</v>
      </c>
      <c r="BS33" s="514">
        <f t="shared" si="7"/>
        <v>187942</v>
      </c>
      <c r="BT33" s="515">
        <f t="shared" si="7"/>
        <v>187942</v>
      </c>
      <c r="BU33" s="516"/>
      <c r="BV33" s="517"/>
      <c r="BW33" s="518"/>
    </row>
    <row r="34" spans="1:75" ht="24">
      <c r="A34" s="519" t="s">
        <v>49</v>
      </c>
      <c r="B34" s="520">
        <v>11</v>
      </c>
      <c r="C34" s="520" t="s">
        <v>19</v>
      </c>
      <c r="D34" s="521">
        <v>3237</v>
      </c>
      <c r="E34" s="522" t="s">
        <v>62</v>
      </c>
      <c r="F34" s="523" t="s">
        <v>682</v>
      </c>
      <c r="G34" s="497">
        <f t="shared" si="5"/>
        <v>6331198</v>
      </c>
      <c r="H34" s="498">
        <f t="shared" si="5"/>
        <v>7901166</v>
      </c>
      <c r="I34" s="499">
        <f t="shared" si="5"/>
        <v>7983601</v>
      </c>
      <c r="J34" s="500">
        <v>750000</v>
      </c>
      <c r="K34" s="501">
        <v>750000</v>
      </c>
      <c r="L34" s="502">
        <v>750000</v>
      </c>
      <c r="M34" s="503">
        <f>320000-33318</f>
        <v>286682</v>
      </c>
      <c r="N34" s="501">
        <f>320000+35983</f>
        <v>355983</v>
      </c>
      <c r="O34" s="504">
        <f>320000+36649</f>
        <v>356649</v>
      </c>
      <c r="P34" s="500">
        <f>113930-10392</f>
        <v>103538</v>
      </c>
      <c r="Q34" s="501">
        <f>113930+11224</f>
        <v>125154</v>
      </c>
      <c r="R34" s="502">
        <f>113930+11431</f>
        <v>125361</v>
      </c>
      <c r="S34" s="503">
        <f>253778-24310</f>
        <v>229468</v>
      </c>
      <c r="T34" s="501">
        <f>253778+26255</f>
        <v>280033</v>
      </c>
      <c r="U34" s="504">
        <f>253778+26741</f>
        <v>280519</v>
      </c>
      <c r="V34" s="500">
        <f>243600-46851</f>
        <v>196749</v>
      </c>
      <c r="W34" s="501">
        <f>248400+50599</f>
        <v>298999</v>
      </c>
      <c r="X34" s="502">
        <f>248400+51536</f>
        <v>299936</v>
      </c>
      <c r="Y34" s="505">
        <f t="shared" si="6"/>
        <v>1566437</v>
      </c>
      <c r="Z34" s="506">
        <f t="shared" si="6"/>
        <v>1810169</v>
      </c>
      <c r="AA34" s="507">
        <f t="shared" si="6"/>
        <v>1812465</v>
      </c>
      <c r="AB34" s="500">
        <f>950000-72237</f>
        <v>877763</v>
      </c>
      <c r="AC34" s="501">
        <f>950000+77219</f>
        <v>1027219</v>
      </c>
      <c r="AD34" s="502">
        <f>950000+77219</f>
        <v>1027219</v>
      </c>
      <c r="AE34" s="503">
        <v>200000</v>
      </c>
      <c r="AF34" s="501">
        <v>200000</v>
      </c>
      <c r="AG34" s="504">
        <v>200000</v>
      </c>
      <c r="AH34" s="500">
        <v>203007</v>
      </c>
      <c r="AI34" s="501">
        <v>198110</v>
      </c>
      <c r="AJ34" s="502">
        <v>190307</v>
      </c>
      <c r="AK34" s="503">
        <f>321425-61056</f>
        <v>260369</v>
      </c>
      <c r="AL34" s="501">
        <f>420937+65266</f>
        <v>486203</v>
      </c>
      <c r="AM34" s="504">
        <f>508879+65266</f>
        <v>574145</v>
      </c>
      <c r="AN34" s="500">
        <f>430000-158424</f>
        <v>271576</v>
      </c>
      <c r="AO34" s="501">
        <f>430000+169349</f>
        <v>599349</v>
      </c>
      <c r="AP34" s="502">
        <f>430000+169349</f>
        <v>599349</v>
      </c>
      <c r="AQ34" s="503">
        <f>755000-116562</f>
        <v>638438</v>
      </c>
      <c r="AR34" s="501">
        <f>755000+124600</f>
        <v>879600</v>
      </c>
      <c r="AS34" s="504">
        <f>755000+124600</f>
        <v>879600</v>
      </c>
      <c r="AT34" s="500">
        <v>149150</v>
      </c>
      <c r="AU34" s="501">
        <v>149150</v>
      </c>
      <c r="AV34" s="502">
        <v>149150</v>
      </c>
      <c r="AW34" s="503">
        <v>125000</v>
      </c>
      <c r="AX34" s="501">
        <v>125000</v>
      </c>
      <c r="AY34" s="504">
        <v>125000</v>
      </c>
      <c r="AZ34" s="500">
        <f>80000-10596</f>
        <v>69404</v>
      </c>
      <c r="BA34" s="501">
        <f>100000+11327</f>
        <v>111327</v>
      </c>
      <c r="BB34" s="502">
        <f>100000+11327</f>
        <v>111327</v>
      </c>
      <c r="BC34" s="503">
        <f>471567-25920</f>
        <v>445647</v>
      </c>
      <c r="BD34" s="501">
        <f>471567+27708</f>
        <v>499275</v>
      </c>
      <c r="BE34" s="504">
        <f>471567+27708</f>
        <v>499275</v>
      </c>
      <c r="BF34" s="500">
        <f>1415000-94534</f>
        <v>1320466</v>
      </c>
      <c r="BG34" s="501">
        <f>1415000+101053</f>
        <v>1516053</v>
      </c>
      <c r="BH34" s="502">
        <f>1415000+101053</f>
        <v>1516053</v>
      </c>
      <c r="BI34" s="503">
        <f>250230-46289</f>
        <v>203941</v>
      </c>
      <c r="BJ34" s="501">
        <f>250230+49481</f>
        <v>299711</v>
      </c>
      <c r="BK34" s="504">
        <f>250230+49481</f>
        <v>299711</v>
      </c>
      <c r="BL34" s="500"/>
      <c r="BM34" s="501"/>
      <c r="BN34" s="502"/>
      <c r="BO34" s="503"/>
      <c r="BP34" s="501"/>
      <c r="BQ34" s="504"/>
      <c r="BR34" s="513">
        <f t="shared" si="7"/>
        <v>6331198</v>
      </c>
      <c r="BS34" s="514">
        <f t="shared" si="7"/>
        <v>7901166</v>
      </c>
      <c r="BT34" s="515">
        <f t="shared" si="7"/>
        <v>7983601</v>
      </c>
      <c r="BU34" s="516"/>
      <c r="BV34" s="517"/>
      <c r="BW34" s="518"/>
    </row>
    <row r="35" spans="1:75" ht="24">
      <c r="A35" s="519" t="s">
        <v>49</v>
      </c>
      <c r="B35" s="520">
        <v>11</v>
      </c>
      <c r="C35" s="520" t="s">
        <v>19</v>
      </c>
      <c r="D35" s="521">
        <v>3238</v>
      </c>
      <c r="E35" s="522" t="s">
        <v>82</v>
      </c>
      <c r="F35" s="523" t="s">
        <v>682</v>
      </c>
      <c r="G35" s="497">
        <f t="shared" si="5"/>
        <v>616159</v>
      </c>
      <c r="H35" s="498">
        <f t="shared" si="5"/>
        <v>627212</v>
      </c>
      <c r="I35" s="499">
        <f t="shared" si="5"/>
        <v>632212</v>
      </c>
      <c r="J35" s="500">
        <v>100000</v>
      </c>
      <c r="K35" s="501">
        <v>100000</v>
      </c>
      <c r="L35" s="502">
        <v>100000</v>
      </c>
      <c r="M35" s="503"/>
      <c r="N35" s="501"/>
      <c r="O35" s="504"/>
      <c r="P35" s="500">
        <v>990</v>
      </c>
      <c r="Q35" s="501">
        <v>990</v>
      </c>
      <c r="R35" s="502">
        <v>990</v>
      </c>
      <c r="S35" s="503">
        <v>1000</v>
      </c>
      <c r="T35" s="501">
        <v>1000</v>
      </c>
      <c r="U35" s="504">
        <v>1000</v>
      </c>
      <c r="V35" s="500">
        <v>4500</v>
      </c>
      <c r="W35" s="501">
        <v>4500</v>
      </c>
      <c r="X35" s="502">
        <v>4500</v>
      </c>
      <c r="Y35" s="505">
        <f t="shared" si="6"/>
        <v>106490</v>
      </c>
      <c r="Z35" s="506">
        <f t="shared" si="6"/>
        <v>106490</v>
      </c>
      <c r="AA35" s="507">
        <f t="shared" si="6"/>
        <v>106490</v>
      </c>
      <c r="AB35" s="500"/>
      <c r="AC35" s="501"/>
      <c r="AD35" s="502"/>
      <c r="AE35" s="503">
        <v>65000</v>
      </c>
      <c r="AF35" s="501">
        <v>65000</v>
      </c>
      <c r="AG35" s="504">
        <v>70000</v>
      </c>
      <c r="AH35" s="500">
        <v>57669</v>
      </c>
      <c r="AI35" s="501">
        <v>68722</v>
      </c>
      <c r="AJ35" s="502">
        <v>68722</v>
      </c>
      <c r="AK35" s="503"/>
      <c r="AL35" s="501"/>
      <c r="AM35" s="504"/>
      <c r="AN35" s="500">
        <v>60000</v>
      </c>
      <c r="AO35" s="501">
        <v>60000</v>
      </c>
      <c r="AP35" s="502">
        <v>60000</v>
      </c>
      <c r="AQ35" s="503">
        <v>100000</v>
      </c>
      <c r="AR35" s="501">
        <v>100000</v>
      </c>
      <c r="AS35" s="504">
        <v>100000</v>
      </c>
      <c r="AT35" s="500">
        <v>95000</v>
      </c>
      <c r="AU35" s="501">
        <v>95000</v>
      </c>
      <c r="AV35" s="502">
        <v>95000</v>
      </c>
      <c r="AW35" s="503"/>
      <c r="AX35" s="501"/>
      <c r="AY35" s="504"/>
      <c r="AZ35" s="500">
        <v>30000</v>
      </c>
      <c r="BA35" s="501">
        <v>30000</v>
      </c>
      <c r="BB35" s="502">
        <v>30000</v>
      </c>
      <c r="BC35" s="503">
        <v>5000</v>
      </c>
      <c r="BD35" s="501">
        <v>5000</v>
      </c>
      <c r="BE35" s="504">
        <v>5000</v>
      </c>
      <c r="BF35" s="500">
        <v>10000</v>
      </c>
      <c r="BG35" s="501">
        <v>10000</v>
      </c>
      <c r="BH35" s="502">
        <v>10000</v>
      </c>
      <c r="BI35" s="503">
        <v>35000</v>
      </c>
      <c r="BJ35" s="501">
        <v>35000</v>
      </c>
      <c r="BK35" s="504">
        <v>35000</v>
      </c>
      <c r="BL35" s="500">
        <v>12000</v>
      </c>
      <c r="BM35" s="501">
        <v>12000</v>
      </c>
      <c r="BN35" s="502">
        <v>12000</v>
      </c>
      <c r="BO35" s="503">
        <v>40000</v>
      </c>
      <c r="BP35" s="501">
        <v>40000</v>
      </c>
      <c r="BQ35" s="504">
        <v>40000</v>
      </c>
      <c r="BR35" s="513">
        <f t="shared" si="7"/>
        <v>616159</v>
      </c>
      <c r="BS35" s="514">
        <f t="shared" si="7"/>
        <v>627212</v>
      </c>
      <c r="BT35" s="515">
        <f t="shared" si="7"/>
        <v>632212</v>
      </c>
      <c r="BU35" s="516"/>
      <c r="BV35" s="517"/>
      <c r="BW35" s="518"/>
    </row>
    <row r="36" spans="1:75" ht="24">
      <c r="A36" s="519" t="s">
        <v>49</v>
      </c>
      <c r="B36" s="520">
        <v>11</v>
      </c>
      <c r="C36" s="520" t="s">
        <v>19</v>
      </c>
      <c r="D36" s="521">
        <v>3239</v>
      </c>
      <c r="E36" s="522" t="s">
        <v>66</v>
      </c>
      <c r="F36" s="523" t="s">
        <v>682</v>
      </c>
      <c r="G36" s="497">
        <f t="shared" si="5"/>
        <v>2200170</v>
      </c>
      <c r="H36" s="498">
        <f t="shared" si="5"/>
        <v>2354472</v>
      </c>
      <c r="I36" s="499">
        <f t="shared" si="5"/>
        <v>2354155</v>
      </c>
      <c r="J36" s="500">
        <v>1060000</v>
      </c>
      <c r="K36" s="501">
        <v>1060000</v>
      </c>
      <c r="L36" s="502">
        <v>1060000</v>
      </c>
      <c r="M36" s="503">
        <v>9000</v>
      </c>
      <c r="N36" s="501">
        <v>9000</v>
      </c>
      <c r="O36" s="504">
        <v>9000</v>
      </c>
      <c r="P36" s="500">
        <v>2000</v>
      </c>
      <c r="Q36" s="501">
        <v>2000</v>
      </c>
      <c r="R36" s="502">
        <v>2000</v>
      </c>
      <c r="S36" s="503">
        <v>5500</v>
      </c>
      <c r="T36" s="501">
        <v>5500</v>
      </c>
      <c r="U36" s="504">
        <v>5500</v>
      </c>
      <c r="V36" s="500">
        <v>12500</v>
      </c>
      <c r="W36" s="501">
        <v>13200</v>
      </c>
      <c r="X36" s="502">
        <v>13200</v>
      </c>
      <c r="Y36" s="505">
        <f t="shared" si="6"/>
        <v>1089000</v>
      </c>
      <c r="Z36" s="506">
        <f t="shared" si="6"/>
        <v>1089700</v>
      </c>
      <c r="AA36" s="507">
        <f t="shared" si="6"/>
        <v>1089700</v>
      </c>
      <c r="AB36" s="500">
        <v>75400</v>
      </c>
      <c r="AC36" s="501">
        <v>75400</v>
      </c>
      <c r="AD36" s="502">
        <v>75400</v>
      </c>
      <c r="AE36" s="503">
        <v>30000</v>
      </c>
      <c r="AF36" s="501">
        <v>30000</v>
      </c>
      <c r="AG36" s="504">
        <v>30000</v>
      </c>
      <c r="AH36" s="500">
        <v>268201</v>
      </c>
      <c r="AI36" s="501">
        <v>264193</v>
      </c>
      <c r="AJ36" s="502">
        <v>263876</v>
      </c>
      <c r="AK36" s="503"/>
      <c r="AL36" s="501"/>
      <c r="AM36" s="504"/>
      <c r="AN36" s="500">
        <v>390000</v>
      </c>
      <c r="AO36" s="501">
        <v>390000</v>
      </c>
      <c r="AP36" s="502">
        <v>390000</v>
      </c>
      <c r="AQ36" s="503">
        <v>111400</v>
      </c>
      <c r="AR36" s="501">
        <v>111400</v>
      </c>
      <c r="AS36" s="504">
        <v>111400</v>
      </c>
      <c r="AT36" s="500">
        <f>179450-76178</f>
        <v>103272</v>
      </c>
      <c r="AU36" s="501">
        <f>179450+81432</f>
        <v>260882</v>
      </c>
      <c r="AV36" s="502">
        <f>179450+81432</f>
        <v>260882</v>
      </c>
      <c r="AW36" s="503">
        <v>50000</v>
      </c>
      <c r="AX36" s="501">
        <v>50000</v>
      </c>
      <c r="AY36" s="504">
        <v>50000</v>
      </c>
      <c r="AZ36" s="500">
        <v>10897</v>
      </c>
      <c r="BA36" s="501">
        <v>10897</v>
      </c>
      <c r="BB36" s="502">
        <v>10897</v>
      </c>
      <c r="BC36" s="503">
        <v>13000</v>
      </c>
      <c r="BD36" s="501">
        <v>13000</v>
      </c>
      <c r="BE36" s="504">
        <v>13000</v>
      </c>
      <c r="BF36" s="500">
        <v>5000</v>
      </c>
      <c r="BG36" s="501">
        <v>5000</v>
      </c>
      <c r="BH36" s="502">
        <v>5000</v>
      </c>
      <c r="BI36" s="503">
        <v>54000</v>
      </c>
      <c r="BJ36" s="501">
        <v>54000</v>
      </c>
      <c r="BK36" s="504">
        <v>54000</v>
      </c>
      <c r="BL36" s="500"/>
      <c r="BM36" s="501"/>
      <c r="BN36" s="502"/>
      <c r="BO36" s="503"/>
      <c r="BP36" s="501"/>
      <c r="BQ36" s="504"/>
      <c r="BR36" s="513">
        <f t="shared" si="7"/>
        <v>2200170</v>
      </c>
      <c r="BS36" s="514">
        <f t="shared" si="7"/>
        <v>2354472</v>
      </c>
      <c r="BT36" s="515">
        <f t="shared" si="7"/>
        <v>2354155</v>
      </c>
      <c r="BU36" s="516"/>
      <c r="BV36" s="517"/>
      <c r="BW36" s="518"/>
    </row>
    <row r="37" spans="1:75" ht="36">
      <c r="A37" s="519" t="s">
        <v>49</v>
      </c>
      <c r="B37" s="520">
        <v>11</v>
      </c>
      <c r="C37" s="520" t="s">
        <v>19</v>
      </c>
      <c r="D37" s="521">
        <v>3241</v>
      </c>
      <c r="E37" s="522" t="s">
        <v>67</v>
      </c>
      <c r="F37" s="523" t="s">
        <v>682</v>
      </c>
      <c r="G37" s="497">
        <f t="shared" si="5"/>
        <v>484872</v>
      </c>
      <c r="H37" s="498">
        <f t="shared" si="5"/>
        <v>483750</v>
      </c>
      <c r="I37" s="499">
        <f t="shared" si="5"/>
        <v>483750</v>
      </c>
      <c r="J37" s="500">
        <v>5000</v>
      </c>
      <c r="K37" s="501">
        <v>5000</v>
      </c>
      <c r="L37" s="502">
        <v>5000</v>
      </c>
      <c r="M37" s="503">
        <v>2000</v>
      </c>
      <c r="N37" s="501">
        <v>2000</v>
      </c>
      <c r="O37" s="504">
        <v>2000</v>
      </c>
      <c r="P37" s="500"/>
      <c r="Q37" s="501"/>
      <c r="R37" s="502"/>
      <c r="S37" s="503">
        <v>10000</v>
      </c>
      <c r="T37" s="501">
        <v>10000</v>
      </c>
      <c r="U37" s="504">
        <v>10000</v>
      </c>
      <c r="V37" s="500">
        <v>8600</v>
      </c>
      <c r="W37" s="501">
        <v>9400</v>
      </c>
      <c r="X37" s="502">
        <v>9400</v>
      </c>
      <c r="Y37" s="505">
        <f t="shared" si="6"/>
        <v>25600</v>
      </c>
      <c r="Z37" s="506">
        <f t="shared" si="6"/>
        <v>26400</v>
      </c>
      <c r="AA37" s="507">
        <f t="shared" si="6"/>
        <v>26400</v>
      </c>
      <c r="AB37" s="500">
        <v>240200</v>
      </c>
      <c r="AC37" s="501">
        <v>240200</v>
      </c>
      <c r="AD37" s="502">
        <v>240200</v>
      </c>
      <c r="AE37" s="503">
        <v>10000</v>
      </c>
      <c r="AF37" s="501">
        <v>10000</v>
      </c>
      <c r="AG37" s="504">
        <v>10000</v>
      </c>
      <c r="AH37" s="500">
        <v>1922</v>
      </c>
      <c r="AI37" s="501"/>
      <c r="AJ37" s="502"/>
      <c r="AK37" s="503"/>
      <c r="AL37" s="501"/>
      <c r="AM37" s="504"/>
      <c r="AN37" s="500">
        <v>27000</v>
      </c>
      <c r="AO37" s="501">
        <v>27000</v>
      </c>
      <c r="AP37" s="502">
        <v>27000</v>
      </c>
      <c r="AQ37" s="503">
        <v>85000</v>
      </c>
      <c r="AR37" s="501">
        <v>85000</v>
      </c>
      <c r="AS37" s="504">
        <v>85000</v>
      </c>
      <c r="AT37" s="500">
        <v>45150</v>
      </c>
      <c r="AU37" s="501">
        <v>45150</v>
      </c>
      <c r="AV37" s="502">
        <v>45150</v>
      </c>
      <c r="AW37" s="503">
        <v>10000</v>
      </c>
      <c r="AX37" s="501">
        <v>10000</v>
      </c>
      <c r="AY37" s="504">
        <v>10000</v>
      </c>
      <c r="AZ37" s="500"/>
      <c r="BA37" s="501"/>
      <c r="BB37" s="502"/>
      <c r="BC37" s="503">
        <v>8000</v>
      </c>
      <c r="BD37" s="501">
        <v>8000</v>
      </c>
      <c r="BE37" s="504">
        <v>8000</v>
      </c>
      <c r="BF37" s="500">
        <v>2000</v>
      </c>
      <c r="BG37" s="501">
        <v>2000</v>
      </c>
      <c r="BH37" s="502">
        <v>2000</v>
      </c>
      <c r="BI37" s="503">
        <v>30000</v>
      </c>
      <c r="BJ37" s="501">
        <v>30000</v>
      </c>
      <c r="BK37" s="504">
        <v>30000</v>
      </c>
      <c r="BL37" s="500"/>
      <c r="BM37" s="501"/>
      <c r="BN37" s="502"/>
      <c r="BO37" s="503"/>
      <c r="BP37" s="501"/>
      <c r="BQ37" s="504"/>
      <c r="BR37" s="513">
        <f t="shared" si="7"/>
        <v>484872</v>
      </c>
      <c r="BS37" s="514">
        <f t="shared" si="7"/>
        <v>483750</v>
      </c>
      <c r="BT37" s="515">
        <f t="shared" si="7"/>
        <v>483750</v>
      </c>
      <c r="BU37" s="516"/>
      <c r="BV37" s="517"/>
      <c r="BW37" s="518"/>
    </row>
    <row r="38" spans="1:75" ht="36">
      <c r="A38" s="519" t="s">
        <v>49</v>
      </c>
      <c r="B38" s="520">
        <v>11</v>
      </c>
      <c r="C38" s="520" t="s">
        <v>19</v>
      </c>
      <c r="D38" s="521">
        <v>3291</v>
      </c>
      <c r="E38" s="522" t="s">
        <v>713</v>
      </c>
      <c r="F38" s="523" t="s">
        <v>682</v>
      </c>
      <c r="G38" s="497">
        <f t="shared" si="5"/>
        <v>14000</v>
      </c>
      <c r="H38" s="498">
        <f t="shared" si="5"/>
        <v>14000</v>
      </c>
      <c r="I38" s="499">
        <f t="shared" si="5"/>
        <v>14000</v>
      </c>
      <c r="J38" s="500"/>
      <c r="K38" s="501"/>
      <c r="L38" s="502"/>
      <c r="M38" s="503"/>
      <c r="N38" s="501"/>
      <c r="O38" s="504"/>
      <c r="P38" s="500"/>
      <c r="Q38" s="501"/>
      <c r="R38" s="502"/>
      <c r="S38" s="503"/>
      <c r="T38" s="501"/>
      <c r="U38" s="504"/>
      <c r="V38" s="500"/>
      <c r="W38" s="501"/>
      <c r="X38" s="502"/>
      <c r="Y38" s="505">
        <f t="shared" si="6"/>
        <v>0</v>
      </c>
      <c r="Z38" s="506">
        <f t="shared" si="6"/>
        <v>0</v>
      </c>
      <c r="AA38" s="507">
        <f t="shared" si="6"/>
        <v>0</v>
      </c>
      <c r="AB38" s="500"/>
      <c r="AC38" s="501"/>
      <c r="AD38" s="502"/>
      <c r="AE38" s="503"/>
      <c r="AF38" s="501"/>
      <c r="AG38" s="504"/>
      <c r="AH38" s="500"/>
      <c r="AI38" s="501"/>
      <c r="AJ38" s="502"/>
      <c r="AK38" s="503"/>
      <c r="AL38" s="501"/>
      <c r="AM38" s="504"/>
      <c r="AN38" s="500"/>
      <c r="AO38" s="501"/>
      <c r="AP38" s="502"/>
      <c r="AQ38" s="503"/>
      <c r="AR38" s="501"/>
      <c r="AS38" s="504"/>
      <c r="AT38" s="500"/>
      <c r="AU38" s="501"/>
      <c r="AV38" s="502"/>
      <c r="AW38" s="503"/>
      <c r="AX38" s="501"/>
      <c r="AY38" s="504"/>
      <c r="AZ38" s="500"/>
      <c r="BA38" s="501"/>
      <c r="BB38" s="502"/>
      <c r="BC38" s="503"/>
      <c r="BD38" s="501"/>
      <c r="BE38" s="504"/>
      <c r="BF38" s="500"/>
      <c r="BG38" s="501"/>
      <c r="BH38" s="502"/>
      <c r="BI38" s="503"/>
      <c r="BJ38" s="501"/>
      <c r="BK38" s="504"/>
      <c r="BL38" s="500"/>
      <c r="BM38" s="501"/>
      <c r="BN38" s="502"/>
      <c r="BO38" s="503">
        <v>14000</v>
      </c>
      <c r="BP38" s="501">
        <v>14000</v>
      </c>
      <c r="BQ38" s="504">
        <v>14000</v>
      </c>
      <c r="BR38" s="513">
        <f t="shared" si="7"/>
        <v>14000</v>
      </c>
      <c r="BS38" s="514">
        <f t="shared" si="7"/>
        <v>14000</v>
      </c>
      <c r="BT38" s="515">
        <f t="shared" si="7"/>
        <v>14000</v>
      </c>
      <c r="BU38" s="516"/>
      <c r="BV38" s="517"/>
      <c r="BW38" s="518"/>
    </row>
    <row r="39" spans="1:75" ht="24">
      <c r="A39" s="519" t="s">
        <v>49</v>
      </c>
      <c r="B39" s="520">
        <v>11</v>
      </c>
      <c r="C39" s="520" t="s">
        <v>19</v>
      </c>
      <c r="D39" s="521">
        <v>3292</v>
      </c>
      <c r="E39" s="522" t="s">
        <v>59</v>
      </c>
      <c r="F39" s="523" t="s">
        <v>682</v>
      </c>
      <c r="G39" s="497">
        <f t="shared" si="5"/>
        <v>158150</v>
      </c>
      <c r="H39" s="498">
        <f t="shared" si="5"/>
        <v>160073</v>
      </c>
      <c r="I39" s="499">
        <f t="shared" si="5"/>
        <v>160073</v>
      </c>
      <c r="J39" s="500">
        <v>25000</v>
      </c>
      <c r="K39" s="501">
        <v>25000</v>
      </c>
      <c r="L39" s="502">
        <v>25000</v>
      </c>
      <c r="M39" s="503"/>
      <c r="N39" s="501"/>
      <c r="O39" s="504"/>
      <c r="P39" s="500"/>
      <c r="Q39" s="501"/>
      <c r="R39" s="502"/>
      <c r="S39" s="503"/>
      <c r="T39" s="501"/>
      <c r="U39" s="504"/>
      <c r="V39" s="500"/>
      <c r="W39" s="501"/>
      <c r="X39" s="502"/>
      <c r="Y39" s="505">
        <f t="shared" si="6"/>
        <v>25000</v>
      </c>
      <c r="Z39" s="506">
        <f t="shared" si="6"/>
        <v>25000</v>
      </c>
      <c r="AA39" s="507">
        <f t="shared" si="6"/>
        <v>25000</v>
      </c>
      <c r="AB39" s="500"/>
      <c r="AC39" s="501"/>
      <c r="AD39" s="502"/>
      <c r="AE39" s="503"/>
      <c r="AF39" s="501"/>
      <c r="AG39" s="504"/>
      <c r="AH39" s="500">
        <v>8650</v>
      </c>
      <c r="AI39" s="501">
        <v>10573</v>
      </c>
      <c r="AJ39" s="502">
        <v>10573</v>
      </c>
      <c r="AK39" s="503"/>
      <c r="AL39" s="501"/>
      <c r="AM39" s="504"/>
      <c r="AN39" s="500">
        <v>105000</v>
      </c>
      <c r="AO39" s="501">
        <v>105000</v>
      </c>
      <c r="AP39" s="502">
        <v>105000</v>
      </c>
      <c r="AQ39" s="503">
        <v>17500</v>
      </c>
      <c r="AR39" s="501">
        <v>17500</v>
      </c>
      <c r="AS39" s="504">
        <v>17500</v>
      </c>
      <c r="AT39" s="500"/>
      <c r="AU39" s="501"/>
      <c r="AV39" s="502"/>
      <c r="AW39" s="503"/>
      <c r="AX39" s="501"/>
      <c r="AY39" s="504"/>
      <c r="AZ39" s="500"/>
      <c r="BA39" s="501"/>
      <c r="BB39" s="502"/>
      <c r="BC39" s="503"/>
      <c r="BD39" s="501"/>
      <c r="BE39" s="504"/>
      <c r="BF39" s="500"/>
      <c r="BG39" s="501"/>
      <c r="BH39" s="502"/>
      <c r="BI39" s="503">
        <v>2000</v>
      </c>
      <c r="BJ39" s="501">
        <v>2000</v>
      </c>
      <c r="BK39" s="504">
        <v>2000</v>
      </c>
      <c r="BL39" s="500"/>
      <c r="BM39" s="501"/>
      <c r="BN39" s="502"/>
      <c r="BO39" s="503"/>
      <c r="BP39" s="501"/>
      <c r="BQ39" s="504"/>
      <c r="BR39" s="513">
        <f t="shared" si="7"/>
        <v>158150</v>
      </c>
      <c r="BS39" s="514">
        <f t="shared" si="7"/>
        <v>160073</v>
      </c>
      <c r="BT39" s="515">
        <f t="shared" si="7"/>
        <v>160073</v>
      </c>
      <c r="BU39" s="516"/>
      <c r="BV39" s="517"/>
      <c r="BW39" s="518"/>
    </row>
    <row r="40" spans="1:75" ht="24">
      <c r="A40" s="519" t="s">
        <v>49</v>
      </c>
      <c r="B40" s="520">
        <v>11</v>
      </c>
      <c r="C40" s="520" t="s">
        <v>19</v>
      </c>
      <c r="D40" s="521">
        <v>3293</v>
      </c>
      <c r="E40" s="522" t="s">
        <v>68</v>
      </c>
      <c r="F40" s="523" t="s">
        <v>682</v>
      </c>
      <c r="G40" s="497">
        <f t="shared" si="5"/>
        <v>350111</v>
      </c>
      <c r="H40" s="498">
        <f t="shared" si="5"/>
        <v>345786</v>
      </c>
      <c r="I40" s="499">
        <f t="shared" si="5"/>
        <v>345786</v>
      </c>
      <c r="J40" s="500">
        <v>260000</v>
      </c>
      <c r="K40" s="501">
        <v>260000</v>
      </c>
      <c r="L40" s="502">
        <v>260000</v>
      </c>
      <c r="M40" s="503"/>
      <c r="N40" s="501"/>
      <c r="O40" s="504"/>
      <c r="P40" s="500"/>
      <c r="Q40" s="501"/>
      <c r="R40" s="502"/>
      <c r="S40" s="503"/>
      <c r="T40" s="501"/>
      <c r="U40" s="504"/>
      <c r="V40" s="500">
        <v>4500</v>
      </c>
      <c r="W40" s="501">
        <v>4500</v>
      </c>
      <c r="X40" s="502">
        <v>4500</v>
      </c>
      <c r="Y40" s="505">
        <f t="shared" si="6"/>
        <v>264500</v>
      </c>
      <c r="Z40" s="506">
        <f t="shared" si="6"/>
        <v>264500</v>
      </c>
      <c r="AA40" s="507">
        <f t="shared" si="6"/>
        <v>264500</v>
      </c>
      <c r="AB40" s="500"/>
      <c r="AC40" s="501"/>
      <c r="AD40" s="502"/>
      <c r="AE40" s="503">
        <v>10000</v>
      </c>
      <c r="AF40" s="501">
        <v>10000</v>
      </c>
      <c r="AG40" s="504">
        <v>10000</v>
      </c>
      <c r="AH40" s="500">
        <v>9611</v>
      </c>
      <c r="AI40" s="501">
        <v>5286</v>
      </c>
      <c r="AJ40" s="502">
        <v>5286</v>
      </c>
      <c r="AK40" s="503"/>
      <c r="AL40" s="501"/>
      <c r="AM40" s="504"/>
      <c r="AN40" s="500">
        <v>25000</v>
      </c>
      <c r="AO40" s="501">
        <v>25000</v>
      </c>
      <c r="AP40" s="502">
        <v>25000</v>
      </c>
      <c r="AQ40" s="503">
        <v>10000</v>
      </c>
      <c r="AR40" s="501">
        <v>10000</v>
      </c>
      <c r="AS40" s="504">
        <v>10000</v>
      </c>
      <c r="AT40" s="500">
        <v>9000</v>
      </c>
      <c r="AU40" s="501">
        <v>9000</v>
      </c>
      <c r="AV40" s="502">
        <v>9000</v>
      </c>
      <c r="AW40" s="503"/>
      <c r="AX40" s="501"/>
      <c r="AY40" s="504"/>
      <c r="AZ40" s="500"/>
      <c r="BA40" s="501"/>
      <c r="BB40" s="502"/>
      <c r="BC40" s="503"/>
      <c r="BD40" s="501"/>
      <c r="BE40" s="504"/>
      <c r="BF40" s="500">
        <v>22000</v>
      </c>
      <c r="BG40" s="501">
        <v>22000</v>
      </c>
      <c r="BH40" s="502">
        <v>22000</v>
      </c>
      <c r="BI40" s="503"/>
      <c r="BJ40" s="501"/>
      <c r="BK40" s="504"/>
      <c r="BL40" s="500"/>
      <c r="BM40" s="501"/>
      <c r="BN40" s="502"/>
      <c r="BO40" s="503"/>
      <c r="BP40" s="501"/>
      <c r="BQ40" s="504"/>
      <c r="BR40" s="513">
        <f t="shared" si="7"/>
        <v>350111</v>
      </c>
      <c r="BS40" s="514">
        <f t="shared" si="7"/>
        <v>345786</v>
      </c>
      <c r="BT40" s="515">
        <f t="shared" si="7"/>
        <v>345786</v>
      </c>
      <c r="BU40" s="516"/>
      <c r="BV40" s="517"/>
      <c r="BW40" s="518"/>
    </row>
    <row r="41" spans="1:75" ht="24">
      <c r="A41" s="519" t="s">
        <v>49</v>
      </c>
      <c r="B41" s="520">
        <v>11</v>
      </c>
      <c r="C41" s="520" t="s">
        <v>19</v>
      </c>
      <c r="D41" s="521">
        <v>3294</v>
      </c>
      <c r="E41" s="522" t="s">
        <v>69</v>
      </c>
      <c r="F41" s="523" t="s">
        <v>682</v>
      </c>
      <c r="G41" s="497">
        <f t="shared" si="5"/>
        <v>351952</v>
      </c>
      <c r="H41" s="498">
        <f t="shared" si="5"/>
        <v>352663</v>
      </c>
      <c r="I41" s="499">
        <f t="shared" si="5"/>
        <v>362663</v>
      </c>
      <c r="J41" s="500">
        <v>35000</v>
      </c>
      <c r="K41" s="501">
        <v>35000</v>
      </c>
      <c r="L41" s="502">
        <v>35000</v>
      </c>
      <c r="M41" s="503">
        <v>1000</v>
      </c>
      <c r="N41" s="501">
        <v>1000</v>
      </c>
      <c r="O41" s="504">
        <v>1000</v>
      </c>
      <c r="P41" s="500">
        <v>1000</v>
      </c>
      <c r="Q41" s="501">
        <v>1000</v>
      </c>
      <c r="R41" s="502">
        <v>1000</v>
      </c>
      <c r="S41" s="503">
        <v>2500</v>
      </c>
      <c r="T41" s="501">
        <v>2500</v>
      </c>
      <c r="U41" s="504">
        <v>2500</v>
      </c>
      <c r="V41" s="500">
        <v>16200</v>
      </c>
      <c r="W41" s="501">
        <v>17300</v>
      </c>
      <c r="X41" s="502">
        <v>17300</v>
      </c>
      <c r="Y41" s="505">
        <f t="shared" si="6"/>
        <v>55700</v>
      </c>
      <c r="Z41" s="506">
        <f t="shared" si="6"/>
        <v>56800</v>
      </c>
      <c r="AA41" s="507">
        <f t="shared" si="6"/>
        <v>56800</v>
      </c>
      <c r="AB41" s="500"/>
      <c r="AC41" s="501"/>
      <c r="AD41" s="502"/>
      <c r="AE41" s="503">
        <v>10000</v>
      </c>
      <c r="AF41" s="501">
        <v>10000</v>
      </c>
      <c r="AG41" s="504">
        <v>10000</v>
      </c>
      <c r="AH41" s="500">
        <v>43252</v>
      </c>
      <c r="AI41" s="501">
        <v>42863</v>
      </c>
      <c r="AJ41" s="502">
        <v>52863</v>
      </c>
      <c r="AK41" s="503"/>
      <c r="AL41" s="501"/>
      <c r="AM41" s="504"/>
      <c r="AN41" s="500">
        <v>160000</v>
      </c>
      <c r="AO41" s="501">
        <v>160000</v>
      </c>
      <c r="AP41" s="502">
        <v>160000</v>
      </c>
      <c r="AQ41" s="503">
        <v>24000</v>
      </c>
      <c r="AR41" s="501">
        <v>24000</v>
      </c>
      <c r="AS41" s="504">
        <v>24000</v>
      </c>
      <c r="AT41" s="500">
        <v>25000</v>
      </c>
      <c r="AU41" s="501">
        <v>25000</v>
      </c>
      <c r="AV41" s="502">
        <v>25000</v>
      </c>
      <c r="AW41" s="503">
        <v>30000</v>
      </c>
      <c r="AX41" s="501">
        <v>30000</v>
      </c>
      <c r="AY41" s="504">
        <v>30000</v>
      </c>
      <c r="AZ41" s="500"/>
      <c r="BA41" s="501"/>
      <c r="BB41" s="502"/>
      <c r="BC41" s="503">
        <v>3000</v>
      </c>
      <c r="BD41" s="501">
        <v>3000</v>
      </c>
      <c r="BE41" s="504">
        <v>3000</v>
      </c>
      <c r="BF41" s="500">
        <v>1000</v>
      </c>
      <c r="BG41" s="501">
        <v>1000</v>
      </c>
      <c r="BH41" s="502">
        <v>1000</v>
      </c>
      <c r="BI41" s="503"/>
      <c r="BJ41" s="501"/>
      <c r="BK41" s="504"/>
      <c r="BL41" s="500"/>
      <c r="BM41" s="501"/>
      <c r="BN41" s="502"/>
      <c r="BO41" s="503"/>
      <c r="BP41" s="501"/>
      <c r="BQ41" s="504"/>
      <c r="BR41" s="513">
        <f t="shared" si="7"/>
        <v>351952</v>
      </c>
      <c r="BS41" s="514">
        <f t="shared" si="7"/>
        <v>352663</v>
      </c>
      <c r="BT41" s="515">
        <f t="shared" si="7"/>
        <v>362663</v>
      </c>
      <c r="BU41" s="516"/>
      <c r="BV41" s="517"/>
      <c r="BW41" s="518"/>
    </row>
    <row r="42" spans="1:75" ht="24">
      <c r="A42" s="519" t="s">
        <v>49</v>
      </c>
      <c r="B42" s="520">
        <v>11</v>
      </c>
      <c r="C42" s="520" t="s">
        <v>19</v>
      </c>
      <c r="D42" s="521">
        <v>3295</v>
      </c>
      <c r="E42" s="522" t="s">
        <v>55</v>
      </c>
      <c r="F42" s="523" t="s">
        <v>682</v>
      </c>
      <c r="G42" s="497">
        <f t="shared" si="5"/>
        <v>68557</v>
      </c>
      <c r="H42" s="498">
        <f t="shared" si="5"/>
        <v>63991</v>
      </c>
      <c r="I42" s="499">
        <f t="shared" si="5"/>
        <v>53991</v>
      </c>
      <c r="J42" s="500">
        <v>6000</v>
      </c>
      <c r="K42" s="501">
        <v>6000</v>
      </c>
      <c r="L42" s="502">
        <v>6000</v>
      </c>
      <c r="M42" s="503"/>
      <c r="N42" s="501"/>
      <c r="O42" s="504"/>
      <c r="P42" s="500"/>
      <c r="Q42" s="501"/>
      <c r="R42" s="502"/>
      <c r="S42" s="503"/>
      <c r="T42" s="501"/>
      <c r="U42" s="504"/>
      <c r="V42" s="500"/>
      <c r="W42" s="501"/>
      <c r="X42" s="502"/>
      <c r="Y42" s="505">
        <f t="shared" si="6"/>
        <v>6000</v>
      </c>
      <c r="Z42" s="506">
        <f t="shared" si="6"/>
        <v>6000</v>
      </c>
      <c r="AA42" s="507">
        <f t="shared" si="6"/>
        <v>6000</v>
      </c>
      <c r="AB42" s="500"/>
      <c r="AC42" s="501"/>
      <c r="AD42" s="502"/>
      <c r="AE42" s="503">
        <v>500</v>
      </c>
      <c r="AF42" s="501">
        <v>500</v>
      </c>
      <c r="AG42" s="504">
        <v>500</v>
      </c>
      <c r="AH42" s="500">
        <v>48057</v>
      </c>
      <c r="AI42" s="501">
        <v>43491</v>
      </c>
      <c r="AJ42" s="502">
        <v>33491</v>
      </c>
      <c r="AK42" s="503"/>
      <c r="AL42" s="501"/>
      <c r="AM42" s="504"/>
      <c r="AN42" s="500">
        <v>11000</v>
      </c>
      <c r="AO42" s="501">
        <v>11000</v>
      </c>
      <c r="AP42" s="502">
        <v>11000</v>
      </c>
      <c r="AQ42" s="503">
        <v>3000</v>
      </c>
      <c r="AR42" s="501">
        <v>3000</v>
      </c>
      <c r="AS42" s="504">
        <v>3000</v>
      </c>
      <c r="AT42" s="500"/>
      <c r="AU42" s="501"/>
      <c r="AV42" s="502"/>
      <c r="AW42" s="503"/>
      <c r="AX42" s="501"/>
      <c r="AY42" s="504"/>
      <c r="AZ42" s="500"/>
      <c r="BA42" s="501"/>
      <c r="BB42" s="502"/>
      <c r="BC42" s="503"/>
      <c r="BD42" s="501"/>
      <c r="BE42" s="504"/>
      <c r="BF42" s="500"/>
      <c r="BG42" s="501"/>
      <c r="BH42" s="502"/>
      <c r="BI42" s="503"/>
      <c r="BJ42" s="501"/>
      <c r="BK42" s="504"/>
      <c r="BL42" s="500"/>
      <c r="BM42" s="501"/>
      <c r="BN42" s="502"/>
      <c r="BO42" s="503"/>
      <c r="BP42" s="501"/>
      <c r="BQ42" s="504"/>
      <c r="BR42" s="513">
        <f t="shared" si="7"/>
        <v>68557</v>
      </c>
      <c r="BS42" s="514">
        <f t="shared" si="7"/>
        <v>63991</v>
      </c>
      <c r="BT42" s="515">
        <f t="shared" si="7"/>
        <v>53991</v>
      </c>
      <c r="BU42" s="516"/>
      <c r="BV42" s="517"/>
      <c r="BW42" s="518"/>
    </row>
    <row r="43" spans="1:75" ht="24">
      <c r="A43" s="519" t="s">
        <v>49</v>
      </c>
      <c r="B43" s="520">
        <v>11</v>
      </c>
      <c r="C43" s="520" t="s">
        <v>19</v>
      </c>
      <c r="D43" s="521">
        <v>3299</v>
      </c>
      <c r="E43" s="522" t="s">
        <v>57</v>
      </c>
      <c r="F43" s="523" t="s">
        <v>682</v>
      </c>
      <c r="G43" s="497">
        <f t="shared" si="5"/>
        <v>541379</v>
      </c>
      <c r="H43" s="498">
        <f t="shared" si="5"/>
        <v>531266</v>
      </c>
      <c r="I43" s="499">
        <f t="shared" si="5"/>
        <v>531852</v>
      </c>
      <c r="J43" s="500">
        <v>100000</v>
      </c>
      <c r="K43" s="501">
        <v>100000</v>
      </c>
      <c r="L43" s="502">
        <v>100000</v>
      </c>
      <c r="M43" s="503"/>
      <c r="N43" s="501"/>
      <c r="O43" s="504"/>
      <c r="P43" s="500">
        <v>10000</v>
      </c>
      <c r="Q43" s="501">
        <v>10000</v>
      </c>
      <c r="R43" s="502">
        <v>10000</v>
      </c>
      <c r="S43" s="503"/>
      <c r="T43" s="501"/>
      <c r="U43" s="504"/>
      <c r="V43" s="500">
        <v>3900</v>
      </c>
      <c r="W43" s="501">
        <v>3900</v>
      </c>
      <c r="X43" s="502">
        <v>4200</v>
      </c>
      <c r="Y43" s="505">
        <f t="shared" si="6"/>
        <v>113900</v>
      </c>
      <c r="Z43" s="506">
        <f t="shared" si="6"/>
        <v>113900</v>
      </c>
      <c r="AA43" s="507">
        <f t="shared" si="6"/>
        <v>114200</v>
      </c>
      <c r="AB43" s="500">
        <v>125000</v>
      </c>
      <c r="AC43" s="501">
        <v>125000</v>
      </c>
      <c r="AD43" s="502">
        <v>125000</v>
      </c>
      <c r="AE43" s="503">
        <v>10000</v>
      </c>
      <c r="AF43" s="501">
        <v>10000</v>
      </c>
      <c r="AG43" s="504">
        <v>10000</v>
      </c>
      <c r="AH43" s="500">
        <v>156329</v>
      </c>
      <c r="AI43" s="501">
        <v>146216</v>
      </c>
      <c r="AJ43" s="502">
        <v>146502</v>
      </c>
      <c r="AK43" s="503"/>
      <c r="AL43" s="501"/>
      <c r="AM43" s="504"/>
      <c r="AN43" s="500">
        <v>11000</v>
      </c>
      <c r="AO43" s="501">
        <v>11000</v>
      </c>
      <c r="AP43" s="502">
        <v>11000</v>
      </c>
      <c r="AQ43" s="503">
        <v>20000</v>
      </c>
      <c r="AR43" s="501">
        <v>20000</v>
      </c>
      <c r="AS43" s="504">
        <v>20000</v>
      </c>
      <c r="AT43" s="500">
        <v>86150</v>
      </c>
      <c r="AU43" s="501">
        <v>86150</v>
      </c>
      <c r="AV43" s="502">
        <v>86150</v>
      </c>
      <c r="AW43" s="503"/>
      <c r="AX43" s="501"/>
      <c r="AY43" s="504"/>
      <c r="AZ43" s="500"/>
      <c r="BA43" s="501"/>
      <c r="BB43" s="502"/>
      <c r="BC43" s="503">
        <v>7000</v>
      </c>
      <c r="BD43" s="501">
        <v>7000</v>
      </c>
      <c r="BE43" s="504">
        <v>7000</v>
      </c>
      <c r="BF43" s="500"/>
      <c r="BG43" s="501"/>
      <c r="BH43" s="502"/>
      <c r="BI43" s="503">
        <v>7000</v>
      </c>
      <c r="BJ43" s="501">
        <v>7000</v>
      </c>
      <c r="BK43" s="504">
        <v>7000</v>
      </c>
      <c r="BL43" s="500">
        <v>5000</v>
      </c>
      <c r="BM43" s="501">
        <v>5000</v>
      </c>
      <c r="BN43" s="502">
        <v>5000</v>
      </c>
      <c r="BO43" s="503"/>
      <c r="BP43" s="501"/>
      <c r="BQ43" s="504"/>
      <c r="BR43" s="513">
        <f t="shared" si="7"/>
        <v>541379</v>
      </c>
      <c r="BS43" s="514">
        <f t="shared" si="7"/>
        <v>531266</v>
      </c>
      <c r="BT43" s="515">
        <f t="shared" si="7"/>
        <v>531852</v>
      </c>
      <c r="BU43" s="516"/>
      <c r="BV43" s="517"/>
      <c r="BW43" s="518"/>
    </row>
    <row r="44" spans="1:75" ht="36">
      <c r="A44" s="519" t="s">
        <v>49</v>
      </c>
      <c r="B44" s="520">
        <v>11</v>
      </c>
      <c r="C44" s="520" t="s">
        <v>19</v>
      </c>
      <c r="D44" s="521">
        <v>3431</v>
      </c>
      <c r="E44" s="522" t="s">
        <v>70</v>
      </c>
      <c r="F44" s="523" t="s">
        <v>682</v>
      </c>
      <c r="G44" s="497">
        <f t="shared" si="5"/>
        <v>348551</v>
      </c>
      <c r="H44" s="498">
        <f t="shared" si="5"/>
        <v>345587</v>
      </c>
      <c r="I44" s="499">
        <f t="shared" si="5"/>
        <v>345587</v>
      </c>
      <c r="J44" s="500">
        <v>76080</v>
      </c>
      <c r="K44" s="501">
        <v>76080</v>
      </c>
      <c r="L44" s="502">
        <v>76080</v>
      </c>
      <c r="M44" s="503"/>
      <c r="N44" s="501"/>
      <c r="O44" s="504"/>
      <c r="P44" s="500">
        <v>2000</v>
      </c>
      <c r="Q44" s="501">
        <v>2000</v>
      </c>
      <c r="R44" s="502">
        <v>2000</v>
      </c>
      <c r="S44" s="503">
        <v>7100</v>
      </c>
      <c r="T44" s="501">
        <v>7100</v>
      </c>
      <c r="U44" s="504">
        <v>7100</v>
      </c>
      <c r="V44" s="500">
        <v>14200</v>
      </c>
      <c r="W44" s="501">
        <v>14600</v>
      </c>
      <c r="X44" s="502">
        <v>14600</v>
      </c>
      <c r="Y44" s="505">
        <f t="shared" si="6"/>
        <v>99380</v>
      </c>
      <c r="Z44" s="506">
        <f t="shared" si="6"/>
        <v>99780</v>
      </c>
      <c r="AA44" s="507">
        <f t="shared" si="6"/>
        <v>99780</v>
      </c>
      <c r="AB44" s="500"/>
      <c r="AC44" s="501"/>
      <c r="AD44" s="502"/>
      <c r="AE44" s="503">
        <v>5000</v>
      </c>
      <c r="AF44" s="501">
        <v>5000</v>
      </c>
      <c r="AG44" s="504">
        <v>5000</v>
      </c>
      <c r="AH44" s="500">
        <v>61513</v>
      </c>
      <c r="AI44" s="501">
        <v>58149</v>
      </c>
      <c r="AJ44" s="502">
        <v>58149</v>
      </c>
      <c r="AK44" s="503">
        <v>95564</v>
      </c>
      <c r="AL44" s="501">
        <v>95564</v>
      </c>
      <c r="AM44" s="504">
        <v>95564</v>
      </c>
      <c r="AN44" s="500">
        <v>15000</v>
      </c>
      <c r="AO44" s="501">
        <v>15000</v>
      </c>
      <c r="AP44" s="502">
        <v>15000</v>
      </c>
      <c r="AQ44" s="503">
        <v>28094</v>
      </c>
      <c r="AR44" s="501">
        <v>28094</v>
      </c>
      <c r="AS44" s="504">
        <v>28094</v>
      </c>
      <c r="AT44" s="500"/>
      <c r="AU44" s="501"/>
      <c r="AV44" s="502"/>
      <c r="AW44" s="503">
        <v>35000</v>
      </c>
      <c r="AX44" s="501">
        <v>35000</v>
      </c>
      <c r="AY44" s="504">
        <v>35000</v>
      </c>
      <c r="AZ44" s="500"/>
      <c r="BA44" s="501"/>
      <c r="BB44" s="502"/>
      <c r="BC44" s="503">
        <v>5000</v>
      </c>
      <c r="BD44" s="501">
        <v>5000</v>
      </c>
      <c r="BE44" s="504">
        <v>5000</v>
      </c>
      <c r="BF44" s="500">
        <v>4000</v>
      </c>
      <c r="BG44" s="501">
        <v>4000</v>
      </c>
      <c r="BH44" s="502">
        <v>4000</v>
      </c>
      <c r="BI44" s="503"/>
      <c r="BJ44" s="501"/>
      <c r="BK44" s="504"/>
      <c r="BL44" s="500"/>
      <c r="BM44" s="501"/>
      <c r="BN44" s="502"/>
      <c r="BO44" s="503"/>
      <c r="BP44" s="501"/>
      <c r="BQ44" s="504"/>
      <c r="BR44" s="513">
        <f t="shared" si="7"/>
        <v>348551</v>
      </c>
      <c r="BS44" s="514">
        <f t="shared" si="7"/>
        <v>345587</v>
      </c>
      <c r="BT44" s="515">
        <f t="shared" si="7"/>
        <v>345587</v>
      </c>
      <c r="BU44" s="516"/>
      <c r="BV44" s="517"/>
      <c r="BW44" s="518"/>
    </row>
    <row r="45" spans="1:75" ht="36">
      <c r="A45" s="519" t="s">
        <v>49</v>
      </c>
      <c r="B45" s="520">
        <v>11</v>
      </c>
      <c r="C45" s="520" t="s">
        <v>19</v>
      </c>
      <c r="D45" s="521">
        <v>3432</v>
      </c>
      <c r="E45" s="522" t="s">
        <v>71</v>
      </c>
      <c r="F45" s="523" t="s">
        <v>682</v>
      </c>
      <c r="G45" s="497">
        <f t="shared" si="5"/>
        <v>9200</v>
      </c>
      <c r="H45" s="498">
        <f t="shared" si="5"/>
        <v>9250</v>
      </c>
      <c r="I45" s="499">
        <f t="shared" si="5"/>
        <v>9250</v>
      </c>
      <c r="J45" s="500">
        <v>1000</v>
      </c>
      <c r="K45" s="501">
        <v>1000</v>
      </c>
      <c r="L45" s="502">
        <v>1000</v>
      </c>
      <c r="M45" s="503"/>
      <c r="N45" s="501"/>
      <c r="O45" s="504"/>
      <c r="P45" s="500"/>
      <c r="Q45" s="501"/>
      <c r="R45" s="502"/>
      <c r="S45" s="503">
        <v>500</v>
      </c>
      <c r="T45" s="501">
        <v>500</v>
      </c>
      <c r="U45" s="504">
        <v>500</v>
      </c>
      <c r="V45" s="500">
        <v>500</v>
      </c>
      <c r="W45" s="501">
        <v>550</v>
      </c>
      <c r="X45" s="502">
        <v>550</v>
      </c>
      <c r="Y45" s="505">
        <f t="shared" si="6"/>
        <v>2000</v>
      </c>
      <c r="Z45" s="506">
        <f t="shared" si="6"/>
        <v>2050</v>
      </c>
      <c r="AA45" s="507">
        <f t="shared" si="6"/>
        <v>2050</v>
      </c>
      <c r="AB45" s="500"/>
      <c r="AC45" s="501"/>
      <c r="AD45" s="502"/>
      <c r="AE45" s="503">
        <v>1000</v>
      </c>
      <c r="AF45" s="501">
        <v>1000</v>
      </c>
      <c r="AG45" s="504">
        <v>1000</v>
      </c>
      <c r="AH45" s="500"/>
      <c r="AI45" s="501"/>
      <c r="AJ45" s="502"/>
      <c r="AK45" s="503"/>
      <c r="AL45" s="501"/>
      <c r="AM45" s="504"/>
      <c r="AN45" s="500">
        <v>4000</v>
      </c>
      <c r="AO45" s="501">
        <v>4000</v>
      </c>
      <c r="AP45" s="502">
        <v>4000</v>
      </c>
      <c r="AQ45" s="503">
        <v>1000</v>
      </c>
      <c r="AR45" s="501">
        <v>1000</v>
      </c>
      <c r="AS45" s="504">
        <v>1000</v>
      </c>
      <c r="AT45" s="500"/>
      <c r="AU45" s="501"/>
      <c r="AV45" s="502"/>
      <c r="AW45" s="503"/>
      <c r="AX45" s="501"/>
      <c r="AY45" s="504"/>
      <c r="AZ45" s="500"/>
      <c r="BA45" s="501"/>
      <c r="BB45" s="502"/>
      <c r="BC45" s="503">
        <v>200</v>
      </c>
      <c r="BD45" s="501">
        <v>200</v>
      </c>
      <c r="BE45" s="504">
        <v>200</v>
      </c>
      <c r="BF45" s="500">
        <v>1000</v>
      </c>
      <c r="BG45" s="501">
        <v>1000</v>
      </c>
      <c r="BH45" s="502">
        <v>1000</v>
      </c>
      <c r="BI45" s="503"/>
      <c r="BJ45" s="501"/>
      <c r="BK45" s="504"/>
      <c r="BL45" s="500"/>
      <c r="BM45" s="501"/>
      <c r="BN45" s="502"/>
      <c r="BO45" s="503"/>
      <c r="BP45" s="501"/>
      <c r="BQ45" s="504"/>
      <c r="BR45" s="513">
        <f t="shared" si="7"/>
        <v>9200</v>
      </c>
      <c r="BS45" s="514">
        <f t="shared" si="7"/>
        <v>9250</v>
      </c>
      <c r="BT45" s="515">
        <f t="shared" si="7"/>
        <v>9250</v>
      </c>
      <c r="BU45" s="516"/>
      <c r="BV45" s="517"/>
      <c r="BW45" s="518"/>
    </row>
    <row r="46" spans="1:75" ht="24">
      <c r="A46" s="519" t="s">
        <v>49</v>
      </c>
      <c r="B46" s="520">
        <v>11</v>
      </c>
      <c r="C46" s="520" t="s">
        <v>19</v>
      </c>
      <c r="D46" s="521">
        <v>3433</v>
      </c>
      <c r="E46" s="522" t="s">
        <v>725</v>
      </c>
      <c r="F46" s="523" t="s">
        <v>682</v>
      </c>
      <c r="G46" s="497">
        <f t="shared" si="5"/>
        <v>510</v>
      </c>
      <c r="H46" s="498">
        <f t="shared" si="5"/>
        <v>510</v>
      </c>
      <c r="I46" s="499">
        <f t="shared" si="5"/>
        <v>510</v>
      </c>
      <c r="J46" s="500">
        <v>500</v>
      </c>
      <c r="K46" s="501">
        <v>500</v>
      </c>
      <c r="L46" s="502">
        <v>500</v>
      </c>
      <c r="M46" s="503"/>
      <c r="N46" s="501"/>
      <c r="O46" s="504"/>
      <c r="P46" s="500"/>
      <c r="Q46" s="501"/>
      <c r="R46" s="502"/>
      <c r="S46" s="503"/>
      <c r="T46" s="501"/>
      <c r="U46" s="504"/>
      <c r="V46" s="500">
        <v>10</v>
      </c>
      <c r="W46" s="501">
        <v>10</v>
      </c>
      <c r="X46" s="502">
        <v>10</v>
      </c>
      <c r="Y46" s="505">
        <f t="shared" si="6"/>
        <v>510</v>
      </c>
      <c r="Z46" s="506">
        <f t="shared" si="6"/>
        <v>510</v>
      </c>
      <c r="AA46" s="507">
        <f t="shared" si="6"/>
        <v>510</v>
      </c>
      <c r="AB46" s="500"/>
      <c r="AC46" s="501"/>
      <c r="AD46" s="502"/>
      <c r="AE46" s="503"/>
      <c r="AF46" s="501"/>
      <c r="AG46" s="504"/>
      <c r="AH46" s="500"/>
      <c r="AI46" s="501"/>
      <c r="AJ46" s="502"/>
      <c r="AK46" s="503"/>
      <c r="AL46" s="501"/>
      <c r="AM46" s="504"/>
      <c r="AN46" s="500"/>
      <c r="AO46" s="501"/>
      <c r="AP46" s="502"/>
      <c r="AQ46" s="503"/>
      <c r="AR46" s="501"/>
      <c r="AS46" s="504"/>
      <c r="AT46" s="500"/>
      <c r="AU46" s="501"/>
      <c r="AV46" s="502"/>
      <c r="AW46" s="503"/>
      <c r="AX46" s="501"/>
      <c r="AY46" s="504"/>
      <c r="AZ46" s="500"/>
      <c r="BA46" s="501"/>
      <c r="BB46" s="502"/>
      <c r="BC46" s="503"/>
      <c r="BD46" s="501"/>
      <c r="BE46" s="504"/>
      <c r="BF46" s="500"/>
      <c r="BG46" s="501"/>
      <c r="BH46" s="502"/>
      <c r="BI46" s="503"/>
      <c r="BJ46" s="501"/>
      <c r="BK46" s="504"/>
      <c r="BL46" s="500"/>
      <c r="BM46" s="501"/>
      <c r="BN46" s="502"/>
      <c r="BO46" s="503"/>
      <c r="BP46" s="501"/>
      <c r="BQ46" s="504"/>
      <c r="BR46" s="513">
        <f t="shared" si="7"/>
        <v>510</v>
      </c>
      <c r="BS46" s="514">
        <f t="shared" si="7"/>
        <v>510</v>
      </c>
      <c r="BT46" s="515">
        <f t="shared" si="7"/>
        <v>510</v>
      </c>
      <c r="BU46" s="516"/>
      <c r="BV46" s="517"/>
      <c r="BW46" s="518"/>
    </row>
    <row r="47" spans="1:75" ht="24">
      <c r="A47" s="519" t="s">
        <v>49</v>
      </c>
      <c r="B47" s="520">
        <v>11</v>
      </c>
      <c r="C47" s="520" t="s">
        <v>19</v>
      </c>
      <c r="D47" s="521">
        <v>3434</v>
      </c>
      <c r="E47" s="522" t="s">
        <v>94</v>
      </c>
      <c r="F47" s="523" t="s">
        <v>682</v>
      </c>
      <c r="G47" s="497">
        <f t="shared" si="5"/>
        <v>500</v>
      </c>
      <c r="H47" s="498">
        <f t="shared" si="5"/>
        <v>500</v>
      </c>
      <c r="I47" s="499">
        <f t="shared" si="5"/>
        <v>500</v>
      </c>
      <c r="J47" s="500">
        <v>500</v>
      </c>
      <c r="K47" s="501">
        <v>500</v>
      </c>
      <c r="L47" s="502">
        <v>500</v>
      </c>
      <c r="M47" s="503"/>
      <c r="N47" s="501"/>
      <c r="O47" s="504"/>
      <c r="P47" s="500"/>
      <c r="Q47" s="501"/>
      <c r="R47" s="502"/>
      <c r="S47" s="503"/>
      <c r="T47" s="501"/>
      <c r="U47" s="504"/>
      <c r="V47" s="500"/>
      <c r="W47" s="501"/>
      <c r="X47" s="502"/>
      <c r="Y47" s="505">
        <f t="shared" si="6"/>
        <v>500</v>
      </c>
      <c r="Z47" s="506">
        <f t="shared" si="6"/>
        <v>500</v>
      </c>
      <c r="AA47" s="507">
        <f t="shared" si="6"/>
        <v>500</v>
      </c>
      <c r="AB47" s="500"/>
      <c r="AC47" s="501"/>
      <c r="AD47" s="502"/>
      <c r="AE47" s="503"/>
      <c r="AF47" s="501"/>
      <c r="AG47" s="504"/>
      <c r="AH47" s="500"/>
      <c r="AI47" s="501"/>
      <c r="AJ47" s="502"/>
      <c r="AK47" s="503"/>
      <c r="AL47" s="501"/>
      <c r="AM47" s="504"/>
      <c r="AN47" s="500"/>
      <c r="AO47" s="501"/>
      <c r="AP47" s="502"/>
      <c r="AQ47" s="503"/>
      <c r="AR47" s="501"/>
      <c r="AS47" s="504"/>
      <c r="AT47" s="500"/>
      <c r="AU47" s="501"/>
      <c r="AV47" s="502"/>
      <c r="AW47" s="503"/>
      <c r="AX47" s="501"/>
      <c r="AY47" s="504"/>
      <c r="AZ47" s="500"/>
      <c r="BA47" s="501"/>
      <c r="BB47" s="502"/>
      <c r="BC47" s="503"/>
      <c r="BD47" s="501"/>
      <c r="BE47" s="504"/>
      <c r="BF47" s="500"/>
      <c r="BG47" s="501"/>
      <c r="BH47" s="502"/>
      <c r="BI47" s="503"/>
      <c r="BJ47" s="501"/>
      <c r="BK47" s="504"/>
      <c r="BL47" s="500"/>
      <c r="BM47" s="501"/>
      <c r="BN47" s="502"/>
      <c r="BO47" s="503"/>
      <c r="BP47" s="501"/>
      <c r="BQ47" s="504"/>
      <c r="BR47" s="513">
        <f t="shared" si="7"/>
        <v>500</v>
      </c>
      <c r="BS47" s="514">
        <f t="shared" si="7"/>
        <v>500</v>
      </c>
      <c r="BT47" s="515">
        <f t="shared" si="7"/>
        <v>500</v>
      </c>
      <c r="BU47" s="516"/>
      <c r="BV47" s="517"/>
      <c r="BW47" s="518"/>
    </row>
    <row r="48" spans="1:75" ht="24">
      <c r="A48" s="519" t="s">
        <v>49</v>
      </c>
      <c r="B48" s="520">
        <v>11</v>
      </c>
      <c r="C48" s="520" t="s">
        <v>19</v>
      </c>
      <c r="D48" s="521">
        <v>3721</v>
      </c>
      <c r="E48" s="522" t="s">
        <v>84</v>
      </c>
      <c r="F48" s="523" t="s">
        <v>682</v>
      </c>
      <c r="G48" s="497">
        <f t="shared" si="5"/>
        <v>1050568</v>
      </c>
      <c r="H48" s="498">
        <f t="shared" si="5"/>
        <v>1054232</v>
      </c>
      <c r="I48" s="499">
        <f t="shared" si="5"/>
        <v>1059232</v>
      </c>
      <c r="J48" s="500">
        <v>1000000</v>
      </c>
      <c r="K48" s="501">
        <v>1000000</v>
      </c>
      <c r="L48" s="502">
        <v>1000000</v>
      </c>
      <c r="M48" s="503"/>
      <c r="N48" s="501"/>
      <c r="O48" s="504"/>
      <c r="P48" s="500"/>
      <c r="Q48" s="501"/>
      <c r="R48" s="502"/>
      <c r="S48" s="503"/>
      <c r="T48" s="501"/>
      <c r="U48" s="504"/>
      <c r="V48" s="500">
        <v>12500</v>
      </c>
      <c r="W48" s="501">
        <v>12800</v>
      </c>
      <c r="X48" s="502">
        <v>12800</v>
      </c>
      <c r="Y48" s="505">
        <f t="shared" si="6"/>
        <v>1012500</v>
      </c>
      <c r="Z48" s="506">
        <f t="shared" si="6"/>
        <v>1012800</v>
      </c>
      <c r="AA48" s="507">
        <f t="shared" si="6"/>
        <v>1012800</v>
      </c>
      <c r="AB48" s="500"/>
      <c r="AC48" s="501"/>
      <c r="AD48" s="502"/>
      <c r="AE48" s="503">
        <v>15000</v>
      </c>
      <c r="AF48" s="501">
        <v>15000</v>
      </c>
      <c r="AG48" s="504">
        <v>20000</v>
      </c>
      <c r="AH48" s="500">
        <v>23068</v>
      </c>
      <c r="AI48" s="501">
        <v>26432</v>
      </c>
      <c r="AJ48" s="502">
        <v>26432</v>
      </c>
      <c r="AK48" s="503"/>
      <c r="AL48" s="501"/>
      <c r="AM48" s="504"/>
      <c r="AN48" s="500"/>
      <c r="AO48" s="501"/>
      <c r="AP48" s="502"/>
      <c r="AQ48" s="503"/>
      <c r="AR48" s="501"/>
      <c r="AS48" s="504"/>
      <c r="AT48" s="500"/>
      <c r="AU48" s="501"/>
      <c r="AV48" s="502"/>
      <c r="AW48" s="503"/>
      <c r="AX48" s="501"/>
      <c r="AY48" s="504"/>
      <c r="AZ48" s="500"/>
      <c r="BA48" s="501"/>
      <c r="BB48" s="502"/>
      <c r="BC48" s="503"/>
      <c r="BD48" s="501"/>
      <c r="BE48" s="504"/>
      <c r="BF48" s="500"/>
      <c r="BG48" s="501"/>
      <c r="BH48" s="502"/>
      <c r="BI48" s="503"/>
      <c r="BJ48" s="501"/>
      <c r="BK48" s="504"/>
      <c r="BL48" s="500"/>
      <c r="BM48" s="501"/>
      <c r="BN48" s="502"/>
      <c r="BO48" s="503"/>
      <c r="BP48" s="501"/>
      <c r="BQ48" s="504"/>
      <c r="BR48" s="513">
        <f t="shared" si="7"/>
        <v>1050568</v>
      </c>
      <c r="BS48" s="514">
        <f t="shared" si="7"/>
        <v>1054232</v>
      </c>
      <c r="BT48" s="515">
        <f t="shared" si="7"/>
        <v>1059232</v>
      </c>
      <c r="BU48" s="516"/>
      <c r="BV48" s="517"/>
      <c r="BW48" s="518"/>
    </row>
    <row r="49" spans="1:75" ht="24">
      <c r="A49" s="519" t="s">
        <v>49</v>
      </c>
      <c r="B49" s="520">
        <v>11</v>
      </c>
      <c r="C49" s="520" t="s">
        <v>19</v>
      </c>
      <c r="D49" s="521">
        <v>4123</v>
      </c>
      <c r="E49" s="522" t="s">
        <v>92</v>
      </c>
      <c r="F49" s="523" t="s">
        <v>682</v>
      </c>
      <c r="G49" s="497">
        <f t="shared" si="5"/>
        <v>164500</v>
      </c>
      <c r="H49" s="498">
        <f t="shared" si="5"/>
        <v>164500</v>
      </c>
      <c r="I49" s="499">
        <f t="shared" si="5"/>
        <v>164500</v>
      </c>
      <c r="J49" s="500">
        <v>100000</v>
      </c>
      <c r="K49" s="501">
        <v>100000</v>
      </c>
      <c r="L49" s="502">
        <v>100000</v>
      </c>
      <c r="M49" s="503"/>
      <c r="N49" s="501"/>
      <c r="O49" s="504"/>
      <c r="P49" s="500"/>
      <c r="Q49" s="501"/>
      <c r="R49" s="502"/>
      <c r="S49" s="503"/>
      <c r="T49" s="501"/>
      <c r="U49" s="504"/>
      <c r="V49" s="500">
        <v>11000</v>
      </c>
      <c r="W49" s="501">
        <v>11000</v>
      </c>
      <c r="X49" s="502">
        <v>11000</v>
      </c>
      <c r="Y49" s="505">
        <f t="shared" si="6"/>
        <v>111000</v>
      </c>
      <c r="Z49" s="506">
        <f t="shared" si="6"/>
        <v>111000</v>
      </c>
      <c r="AA49" s="507">
        <f t="shared" si="6"/>
        <v>111000</v>
      </c>
      <c r="AB49" s="500"/>
      <c r="AC49" s="501"/>
      <c r="AD49" s="502"/>
      <c r="AE49" s="503"/>
      <c r="AF49" s="501"/>
      <c r="AG49" s="504"/>
      <c r="AH49" s="500"/>
      <c r="AI49" s="501"/>
      <c r="AJ49" s="502"/>
      <c r="AK49" s="503"/>
      <c r="AL49" s="501"/>
      <c r="AM49" s="504"/>
      <c r="AN49" s="500"/>
      <c r="AO49" s="501"/>
      <c r="AP49" s="502"/>
      <c r="AQ49" s="503"/>
      <c r="AR49" s="501"/>
      <c r="AS49" s="504"/>
      <c r="AT49" s="500"/>
      <c r="AU49" s="501"/>
      <c r="AV49" s="502"/>
      <c r="AW49" s="503"/>
      <c r="AX49" s="501"/>
      <c r="AY49" s="504"/>
      <c r="AZ49" s="500"/>
      <c r="BA49" s="501"/>
      <c r="BB49" s="502"/>
      <c r="BC49" s="503"/>
      <c r="BD49" s="501"/>
      <c r="BE49" s="504"/>
      <c r="BF49" s="500">
        <v>53500</v>
      </c>
      <c r="BG49" s="501">
        <v>53500</v>
      </c>
      <c r="BH49" s="502">
        <v>53500</v>
      </c>
      <c r="BI49" s="503"/>
      <c r="BJ49" s="501"/>
      <c r="BK49" s="504"/>
      <c r="BL49" s="500"/>
      <c r="BM49" s="501"/>
      <c r="BN49" s="502"/>
      <c r="BO49" s="503"/>
      <c r="BP49" s="501"/>
      <c r="BQ49" s="504"/>
      <c r="BR49" s="513">
        <f t="shared" si="7"/>
        <v>164500</v>
      </c>
      <c r="BS49" s="514">
        <f t="shared" si="7"/>
        <v>164500</v>
      </c>
      <c r="BT49" s="515">
        <f t="shared" si="7"/>
        <v>164500</v>
      </c>
      <c r="BU49" s="516"/>
      <c r="BV49" s="517"/>
      <c r="BW49" s="518"/>
    </row>
    <row r="50" spans="1:75" ht="24">
      <c r="A50" s="519" t="s">
        <v>49</v>
      </c>
      <c r="B50" s="520">
        <v>11</v>
      </c>
      <c r="C50" s="520" t="s">
        <v>19</v>
      </c>
      <c r="D50" s="521">
        <v>4212</v>
      </c>
      <c r="E50" s="522" t="s">
        <v>58</v>
      </c>
      <c r="F50" s="523" t="s">
        <v>682</v>
      </c>
      <c r="G50" s="497">
        <f t="shared" si="5"/>
        <v>1000000</v>
      </c>
      <c r="H50" s="498">
        <f t="shared" si="5"/>
        <v>1000000</v>
      </c>
      <c r="I50" s="499">
        <f t="shared" si="5"/>
        <v>1000000</v>
      </c>
      <c r="J50" s="500">
        <v>1000000</v>
      </c>
      <c r="K50" s="501">
        <v>1000000</v>
      </c>
      <c r="L50" s="502">
        <v>1000000</v>
      </c>
      <c r="M50" s="503"/>
      <c r="N50" s="501"/>
      <c r="O50" s="504"/>
      <c r="P50" s="500"/>
      <c r="Q50" s="501"/>
      <c r="R50" s="502"/>
      <c r="S50" s="503"/>
      <c r="T50" s="501"/>
      <c r="U50" s="504"/>
      <c r="V50" s="500"/>
      <c r="W50" s="501"/>
      <c r="X50" s="502"/>
      <c r="Y50" s="505">
        <f t="shared" si="6"/>
        <v>1000000</v>
      </c>
      <c r="Z50" s="506">
        <f t="shared" si="6"/>
        <v>1000000</v>
      </c>
      <c r="AA50" s="507">
        <f t="shared" si="6"/>
        <v>1000000</v>
      </c>
      <c r="AB50" s="500"/>
      <c r="AC50" s="501"/>
      <c r="AD50" s="502"/>
      <c r="AE50" s="503"/>
      <c r="AF50" s="501"/>
      <c r="AG50" s="504"/>
      <c r="AH50" s="500"/>
      <c r="AI50" s="501"/>
      <c r="AJ50" s="502"/>
      <c r="AK50" s="503"/>
      <c r="AL50" s="501"/>
      <c r="AM50" s="504"/>
      <c r="AN50" s="500"/>
      <c r="AO50" s="501"/>
      <c r="AP50" s="502"/>
      <c r="AQ50" s="503"/>
      <c r="AR50" s="501"/>
      <c r="AS50" s="504"/>
      <c r="AT50" s="500"/>
      <c r="AU50" s="501"/>
      <c r="AV50" s="502"/>
      <c r="AW50" s="503"/>
      <c r="AX50" s="501"/>
      <c r="AY50" s="504"/>
      <c r="AZ50" s="500"/>
      <c r="BA50" s="501"/>
      <c r="BB50" s="502"/>
      <c r="BC50" s="503"/>
      <c r="BD50" s="501"/>
      <c r="BE50" s="504"/>
      <c r="BF50" s="500"/>
      <c r="BG50" s="501"/>
      <c r="BH50" s="502"/>
      <c r="BI50" s="503"/>
      <c r="BJ50" s="501"/>
      <c r="BK50" s="504"/>
      <c r="BL50" s="500"/>
      <c r="BM50" s="501"/>
      <c r="BN50" s="502"/>
      <c r="BO50" s="503"/>
      <c r="BP50" s="501"/>
      <c r="BQ50" s="504"/>
      <c r="BR50" s="513">
        <f t="shared" si="7"/>
        <v>1000000</v>
      </c>
      <c r="BS50" s="514">
        <f t="shared" si="7"/>
        <v>1000000</v>
      </c>
      <c r="BT50" s="515">
        <f t="shared" si="7"/>
        <v>1000000</v>
      </c>
      <c r="BU50" s="516"/>
      <c r="BV50" s="517"/>
      <c r="BW50" s="518"/>
    </row>
    <row r="51" spans="1:75" ht="24">
      <c r="A51" s="519" t="s">
        <v>49</v>
      </c>
      <c r="B51" s="520">
        <v>11</v>
      </c>
      <c r="C51" s="520" t="s">
        <v>19</v>
      </c>
      <c r="D51" s="521">
        <v>4221</v>
      </c>
      <c r="E51" s="522" t="s">
        <v>63</v>
      </c>
      <c r="F51" s="523" t="s">
        <v>682</v>
      </c>
      <c r="G51" s="497">
        <f t="shared" si="5"/>
        <v>1690153</v>
      </c>
      <c r="H51" s="498">
        <f t="shared" si="5"/>
        <v>1934065</v>
      </c>
      <c r="I51" s="499">
        <f t="shared" si="5"/>
        <v>2004065</v>
      </c>
      <c r="J51" s="500">
        <v>350000</v>
      </c>
      <c r="K51" s="501">
        <v>350000</v>
      </c>
      <c r="L51" s="502">
        <v>350000</v>
      </c>
      <c r="M51" s="503">
        <v>110000</v>
      </c>
      <c r="N51" s="501">
        <v>110000</v>
      </c>
      <c r="O51" s="504">
        <v>110000</v>
      </c>
      <c r="P51" s="500">
        <v>20000</v>
      </c>
      <c r="Q51" s="501">
        <v>20000</v>
      </c>
      <c r="R51" s="502">
        <v>20000</v>
      </c>
      <c r="S51" s="503"/>
      <c r="T51" s="501"/>
      <c r="U51" s="504"/>
      <c r="V51" s="500">
        <v>190000</v>
      </c>
      <c r="W51" s="501">
        <v>210000</v>
      </c>
      <c r="X51" s="502">
        <v>250000</v>
      </c>
      <c r="Y51" s="505">
        <f t="shared" si="6"/>
        <v>670000</v>
      </c>
      <c r="Z51" s="506">
        <f t="shared" si="6"/>
        <v>690000</v>
      </c>
      <c r="AA51" s="507">
        <f t="shared" si="6"/>
        <v>730000</v>
      </c>
      <c r="AB51" s="500"/>
      <c r="AC51" s="501"/>
      <c r="AD51" s="502"/>
      <c r="AE51" s="503">
        <f>374044-103391</f>
        <v>270653</v>
      </c>
      <c r="AF51" s="501">
        <f>384044+110521</f>
        <v>494565</v>
      </c>
      <c r="AG51" s="504">
        <f>414044+110521</f>
        <v>524565</v>
      </c>
      <c r="AH51" s="500"/>
      <c r="AI51" s="501"/>
      <c r="AJ51" s="502"/>
      <c r="AK51" s="503"/>
      <c r="AL51" s="501"/>
      <c r="AM51" s="504"/>
      <c r="AN51" s="500">
        <v>300000</v>
      </c>
      <c r="AO51" s="501">
        <v>300000</v>
      </c>
      <c r="AP51" s="502">
        <v>300000</v>
      </c>
      <c r="AQ51" s="503">
        <v>127000</v>
      </c>
      <c r="AR51" s="501">
        <v>127000</v>
      </c>
      <c r="AS51" s="504">
        <v>127000</v>
      </c>
      <c r="AT51" s="500">
        <v>245000</v>
      </c>
      <c r="AU51" s="501">
        <v>245000</v>
      </c>
      <c r="AV51" s="502">
        <v>245000</v>
      </c>
      <c r="AW51" s="503"/>
      <c r="AX51" s="501"/>
      <c r="AY51" s="504"/>
      <c r="AZ51" s="500"/>
      <c r="BA51" s="501"/>
      <c r="BB51" s="502"/>
      <c r="BC51" s="503"/>
      <c r="BD51" s="501"/>
      <c r="BE51" s="504"/>
      <c r="BF51" s="500">
        <v>51500</v>
      </c>
      <c r="BG51" s="501">
        <v>51500</v>
      </c>
      <c r="BH51" s="502">
        <v>51500</v>
      </c>
      <c r="BI51" s="503">
        <v>26000</v>
      </c>
      <c r="BJ51" s="501">
        <v>26000</v>
      </c>
      <c r="BK51" s="504">
        <v>26000</v>
      </c>
      <c r="BL51" s="500"/>
      <c r="BM51" s="501"/>
      <c r="BN51" s="502"/>
      <c r="BO51" s="503"/>
      <c r="BP51" s="501"/>
      <c r="BQ51" s="504"/>
      <c r="BR51" s="513">
        <f t="shared" si="7"/>
        <v>1690153</v>
      </c>
      <c r="BS51" s="514">
        <f t="shared" si="7"/>
        <v>1934065</v>
      </c>
      <c r="BT51" s="515">
        <f t="shared" si="7"/>
        <v>2004065</v>
      </c>
      <c r="BU51" s="516"/>
      <c r="BV51" s="517"/>
      <c r="BW51" s="518"/>
    </row>
    <row r="52" spans="1:75" ht="24">
      <c r="A52" s="519" t="s">
        <v>49</v>
      </c>
      <c r="B52" s="520">
        <v>11</v>
      </c>
      <c r="C52" s="520" t="s">
        <v>19</v>
      </c>
      <c r="D52" s="521">
        <v>4222</v>
      </c>
      <c r="E52" s="522" t="s">
        <v>72</v>
      </c>
      <c r="F52" s="523" t="s">
        <v>682</v>
      </c>
      <c r="G52" s="497">
        <f t="shared" si="5"/>
        <v>90000</v>
      </c>
      <c r="H52" s="498">
        <f t="shared" si="5"/>
        <v>180000</v>
      </c>
      <c r="I52" s="499">
        <f t="shared" si="5"/>
        <v>180000</v>
      </c>
      <c r="J52" s="500">
        <v>10000</v>
      </c>
      <c r="K52" s="501">
        <v>10000</v>
      </c>
      <c r="L52" s="502">
        <v>10000</v>
      </c>
      <c r="M52" s="503"/>
      <c r="N52" s="501"/>
      <c r="O52" s="504"/>
      <c r="P52" s="500"/>
      <c r="Q52" s="501"/>
      <c r="R52" s="502"/>
      <c r="S52" s="503"/>
      <c r="T52" s="501"/>
      <c r="U52" s="504"/>
      <c r="V52" s="500"/>
      <c r="W52" s="501"/>
      <c r="X52" s="502"/>
      <c r="Y52" s="505">
        <f t="shared" si="6"/>
        <v>10000</v>
      </c>
      <c r="Z52" s="506">
        <f t="shared" si="6"/>
        <v>10000</v>
      </c>
      <c r="AA52" s="507">
        <f t="shared" si="6"/>
        <v>10000</v>
      </c>
      <c r="AB52" s="500"/>
      <c r="AC52" s="501"/>
      <c r="AD52" s="502"/>
      <c r="AE52" s="503">
        <v>10000</v>
      </c>
      <c r="AF52" s="501">
        <v>100000</v>
      </c>
      <c r="AG52" s="504">
        <v>100000</v>
      </c>
      <c r="AH52" s="500"/>
      <c r="AI52" s="501"/>
      <c r="AJ52" s="502"/>
      <c r="AK52" s="503"/>
      <c r="AL52" s="501"/>
      <c r="AM52" s="504"/>
      <c r="AN52" s="500"/>
      <c r="AO52" s="501"/>
      <c r="AP52" s="502"/>
      <c r="AQ52" s="503">
        <v>20000</v>
      </c>
      <c r="AR52" s="501">
        <v>20000</v>
      </c>
      <c r="AS52" s="504">
        <v>20000</v>
      </c>
      <c r="AT52" s="500"/>
      <c r="AU52" s="501"/>
      <c r="AV52" s="502"/>
      <c r="AW52" s="503">
        <v>30000</v>
      </c>
      <c r="AX52" s="501">
        <v>30000</v>
      </c>
      <c r="AY52" s="504">
        <v>30000</v>
      </c>
      <c r="AZ52" s="500"/>
      <c r="BA52" s="501"/>
      <c r="BB52" s="502"/>
      <c r="BC52" s="503"/>
      <c r="BD52" s="501"/>
      <c r="BE52" s="504"/>
      <c r="BF52" s="500"/>
      <c r="BG52" s="501"/>
      <c r="BH52" s="502"/>
      <c r="BI52" s="503">
        <v>20000</v>
      </c>
      <c r="BJ52" s="501">
        <v>20000</v>
      </c>
      <c r="BK52" s="504">
        <v>20000</v>
      </c>
      <c r="BL52" s="500"/>
      <c r="BM52" s="501"/>
      <c r="BN52" s="502"/>
      <c r="BO52" s="503"/>
      <c r="BP52" s="501"/>
      <c r="BQ52" s="504"/>
      <c r="BR52" s="513">
        <f t="shared" si="7"/>
        <v>90000</v>
      </c>
      <c r="BS52" s="514">
        <f t="shared" si="7"/>
        <v>180000</v>
      </c>
      <c r="BT52" s="515">
        <f t="shared" si="7"/>
        <v>180000</v>
      </c>
      <c r="BU52" s="516"/>
      <c r="BV52" s="517"/>
      <c r="BW52" s="518"/>
    </row>
    <row r="53" spans="1:75" ht="24">
      <c r="A53" s="519" t="s">
        <v>49</v>
      </c>
      <c r="B53" s="520">
        <v>11</v>
      </c>
      <c r="C53" s="520" t="s">
        <v>19</v>
      </c>
      <c r="D53" s="521">
        <v>4223</v>
      </c>
      <c r="E53" s="522" t="s">
        <v>90</v>
      </c>
      <c r="F53" s="523" t="s">
        <v>682</v>
      </c>
      <c r="G53" s="497">
        <f t="shared" si="5"/>
        <v>243000</v>
      </c>
      <c r="H53" s="498">
        <f t="shared" si="5"/>
        <v>235000</v>
      </c>
      <c r="I53" s="499">
        <f t="shared" si="5"/>
        <v>235000</v>
      </c>
      <c r="J53" s="500">
        <v>5000</v>
      </c>
      <c r="K53" s="501">
        <v>5000</v>
      </c>
      <c r="L53" s="502">
        <v>5000</v>
      </c>
      <c r="M53" s="503"/>
      <c r="N53" s="501"/>
      <c r="O53" s="504"/>
      <c r="P53" s="500"/>
      <c r="Q53" s="501"/>
      <c r="R53" s="502"/>
      <c r="S53" s="503"/>
      <c r="T53" s="501"/>
      <c r="U53" s="504"/>
      <c r="V53" s="500">
        <v>58000</v>
      </c>
      <c r="W53" s="501">
        <v>60000</v>
      </c>
      <c r="X53" s="502">
        <v>60000</v>
      </c>
      <c r="Y53" s="505">
        <f t="shared" si="6"/>
        <v>63000</v>
      </c>
      <c r="Z53" s="506">
        <f t="shared" si="6"/>
        <v>65000</v>
      </c>
      <c r="AA53" s="507">
        <f t="shared" si="6"/>
        <v>65000</v>
      </c>
      <c r="AB53" s="500"/>
      <c r="AC53" s="501"/>
      <c r="AD53" s="502"/>
      <c r="AE53" s="503">
        <v>30000</v>
      </c>
      <c r="AF53" s="501">
        <v>20000</v>
      </c>
      <c r="AG53" s="504">
        <v>20000</v>
      </c>
      <c r="AH53" s="500"/>
      <c r="AI53" s="501"/>
      <c r="AJ53" s="502"/>
      <c r="AK53" s="503"/>
      <c r="AL53" s="501"/>
      <c r="AM53" s="504"/>
      <c r="AN53" s="500">
        <v>150000</v>
      </c>
      <c r="AO53" s="501">
        <v>150000</v>
      </c>
      <c r="AP53" s="502">
        <v>150000</v>
      </c>
      <c r="AQ53" s="503"/>
      <c r="AR53" s="501"/>
      <c r="AS53" s="504"/>
      <c r="AT53" s="500"/>
      <c r="AU53" s="501"/>
      <c r="AV53" s="502"/>
      <c r="AW53" s="503"/>
      <c r="AX53" s="501"/>
      <c r="AY53" s="504"/>
      <c r="AZ53" s="500"/>
      <c r="BA53" s="501"/>
      <c r="BB53" s="502"/>
      <c r="BC53" s="503"/>
      <c r="BD53" s="501"/>
      <c r="BE53" s="504"/>
      <c r="BF53" s="500"/>
      <c r="BG53" s="501"/>
      <c r="BH53" s="502"/>
      <c r="BI53" s="503"/>
      <c r="BJ53" s="501"/>
      <c r="BK53" s="504"/>
      <c r="BL53" s="500"/>
      <c r="BM53" s="501"/>
      <c r="BN53" s="502"/>
      <c r="BO53" s="503"/>
      <c r="BP53" s="501"/>
      <c r="BQ53" s="504"/>
      <c r="BR53" s="513">
        <f t="shared" si="7"/>
        <v>243000</v>
      </c>
      <c r="BS53" s="514">
        <f t="shared" si="7"/>
        <v>235000</v>
      </c>
      <c r="BT53" s="515">
        <f t="shared" si="7"/>
        <v>235000</v>
      </c>
      <c r="BU53" s="516"/>
      <c r="BV53" s="517"/>
      <c r="BW53" s="518"/>
    </row>
    <row r="54" spans="1:75" ht="36">
      <c r="A54" s="519" t="s">
        <v>49</v>
      </c>
      <c r="B54" s="520">
        <v>11</v>
      </c>
      <c r="C54" s="520" t="s">
        <v>19</v>
      </c>
      <c r="D54" s="521">
        <v>4224</v>
      </c>
      <c r="E54" s="522" t="s">
        <v>73</v>
      </c>
      <c r="F54" s="523" t="s">
        <v>682</v>
      </c>
      <c r="G54" s="497">
        <f t="shared" si="5"/>
        <v>701000</v>
      </c>
      <c r="H54" s="498">
        <f t="shared" si="5"/>
        <v>701000</v>
      </c>
      <c r="I54" s="499">
        <f t="shared" si="5"/>
        <v>701000</v>
      </c>
      <c r="J54" s="500"/>
      <c r="K54" s="501"/>
      <c r="L54" s="502"/>
      <c r="M54" s="503">
        <v>200000</v>
      </c>
      <c r="N54" s="501">
        <v>200000</v>
      </c>
      <c r="O54" s="504">
        <v>200000</v>
      </c>
      <c r="P54" s="500"/>
      <c r="Q54" s="501"/>
      <c r="R54" s="502"/>
      <c r="S54" s="503">
        <v>20000</v>
      </c>
      <c r="T54" s="501">
        <v>20000</v>
      </c>
      <c r="U54" s="504">
        <v>20000</v>
      </c>
      <c r="V54" s="500"/>
      <c r="W54" s="501"/>
      <c r="X54" s="502"/>
      <c r="Y54" s="505">
        <f t="shared" si="6"/>
        <v>220000</v>
      </c>
      <c r="Z54" s="506">
        <f t="shared" si="6"/>
        <v>220000</v>
      </c>
      <c r="AA54" s="507">
        <f t="shared" si="6"/>
        <v>220000</v>
      </c>
      <c r="AB54" s="500"/>
      <c r="AC54" s="501"/>
      <c r="AD54" s="502"/>
      <c r="AE54" s="503"/>
      <c r="AF54" s="501"/>
      <c r="AG54" s="504"/>
      <c r="AH54" s="500"/>
      <c r="AI54" s="501"/>
      <c r="AJ54" s="502"/>
      <c r="AK54" s="503"/>
      <c r="AL54" s="501"/>
      <c r="AM54" s="504"/>
      <c r="AN54" s="500">
        <v>180000</v>
      </c>
      <c r="AO54" s="501">
        <v>180000</v>
      </c>
      <c r="AP54" s="502">
        <v>180000</v>
      </c>
      <c r="AQ54" s="503"/>
      <c r="AR54" s="501"/>
      <c r="AS54" s="504"/>
      <c r="AT54" s="500"/>
      <c r="AU54" s="501"/>
      <c r="AV54" s="502"/>
      <c r="AW54" s="503">
        <v>141000</v>
      </c>
      <c r="AX54" s="501">
        <v>141000</v>
      </c>
      <c r="AY54" s="504">
        <v>141000</v>
      </c>
      <c r="AZ54" s="500"/>
      <c r="BA54" s="501"/>
      <c r="BB54" s="502"/>
      <c r="BC54" s="503"/>
      <c r="BD54" s="501"/>
      <c r="BE54" s="504"/>
      <c r="BF54" s="500">
        <v>135000</v>
      </c>
      <c r="BG54" s="501">
        <v>135000</v>
      </c>
      <c r="BH54" s="502">
        <v>135000</v>
      </c>
      <c r="BI54" s="503"/>
      <c r="BJ54" s="501"/>
      <c r="BK54" s="504"/>
      <c r="BL54" s="500">
        <v>25000</v>
      </c>
      <c r="BM54" s="501">
        <v>25000</v>
      </c>
      <c r="BN54" s="502">
        <v>25000</v>
      </c>
      <c r="BO54" s="503"/>
      <c r="BP54" s="501"/>
      <c r="BQ54" s="504"/>
      <c r="BR54" s="513">
        <f t="shared" si="7"/>
        <v>701000</v>
      </c>
      <c r="BS54" s="514">
        <f t="shared" si="7"/>
        <v>701000</v>
      </c>
      <c r="BT54" s="515">
        <f t="shared" si="7"/>
        <v>701000</v>
      </c>
      <c r="BU54" s="516"/>
      <c r="BV54" s="517"/>
      <c r="BW54" s="518"/>
    </row>
    <row r="55" spans="1:75" ht="24">
      <c r="A55" s="519" t="s">
        <v>49</v>
      </c>
      <c r="B55" s="520">
        <v>11</v>
      </c>
      <c r="C55" s="520" t="s">
        <v>19</v>
      </c>
      <c r="D55" s="521">
        <v>4225</v>
      </c>
      <c r="E55" s="522" t="s">
        <v>85</v>
      </c>
      <c r="F55" s="523" t="s">
        <v>682</v>
      </c>
      <c r="G55" s="497">
        <f t="shared" si="5"/>
        <v>230000</v>
      </c>
      <c r="H55" s="498">
        <f t="shared" si="5"/>
        <v>230000</v>
      </c>
      <c r="I55" s="499">
        <f t="shared" si="5"/>
        <v>230000</v>
      </c>
      <c r="J55" s="500"/>
      <c r="K55" s="501"/>
      <c r="L55" s="502"/>
      <c r="M55" s="503"/>
      <c r="N55" s="501"/>
      <c r="O55" s="504"/>
      <c r="P55" s="500">
        <v>10000</v>
      </c>
      <c r="Q55" s="501">
        <v>10000</v>
      </c>
      <c r="R55" s="502">
        <v>10000</v>
      </c>
      <c r="S55" s="503"/>
      <c r="T55" s="501"/>
      <c r="U55" s="504"/>
      <c r="V55" s="500"/>
      <c r="W55" s="501"/>
      <c r="X55" s="502"/>
      <c r="Y55" s="505">
        <f t="shared" si="6"/>
        <v>10000</v>
      </c>
      <c r="Z55" s="506">
        <f t="shared" si="6"/>
        <v>10000</v>
      </c>
      <c r="AA55" s="507">
        <f t="shared" si="6"/>
        <v>10000</v>
      </c>
      <c r="AB55" s="500"/>
      <c r="AC55" s="501"/>
      <c r="AD55" s="502"/>
      <c r="AE55" s="503"/>
      <c r="AF55" s="501"/>
      <c r="AG55" s="504"/>
      <c r="AH55" s="500"/>
      <c r="AI55" s="501"/>
      <c r="AJ55" s="502"/>
      <c r="AK55" s="503"/>
      <c r="AL55" s="501"/>
      <c r="AM55" s="504"/>
      <c r="AN55" s="500">
        <v>100000</v>
      </c>
      <c r="AO55" s="501">
        <v>100000</v>
      </c>
      <c r="AP55" s="502">
        <v>100000</v>
      </c>
      <c r="AQ55" s="503"/>
      <c r="AR55" s="501"/>
      <c r="AS55" s="504"/>
      <c r="AT55" s="500"/>
      <c r="AU55" s="501"/>
      <c r="AV55" s="502"/>
      <c r="AW55" s="503">
        <v>120000</v>
      </c>
      <c r="AX55" s="501">
        <v>120000</v>
      </c>
      <c r="AY55" s="504">
        <v>120000</v>
      </c>
      <c r="AZ55" s="500"/>
      <c r="BA55" s="501"/>
      <c r="BB55" s="502"/>
      <c r="BC55" s="503"/>
      <c r="BD55" s="501"/>
      <c r="BE55" s="504"/>
      <c r="BF55" s="500"/>
      <c r="BG55" s="501"/>
      <c r="BH55" s="502"/>
      <c r="BI55" s="503"/>
      <c r="BJ55" s="501"/>
      <c r="BK55" s="504"/>
      <c r="BL55" s="500"/>
      <c r="BM55" s="501"/>
      <c r="BN55" s="502"/>
      <c r="BO55" s="503"/>
      <c r="BP55" s="501"/>
      <c r="BQ55" s="504"/>
      <c r="BR55" s="513">
        <f t="shared" si="7"/>
        <v>230000</v>
      </c>
      <c r="BS55" s="514">
        <f t="shared" si="7"/>
        <v>230000</v>
      </c>
      <c r="BT55" s="515">
        <f t="shared" si="7"/>
        <v>230000</v>
      </c>
      <c r="BU55" s="516"/>
      <c r="BV55" s="517"/>
      <c r="BW55" s="518"/>
    </row>
    <row r="56" spans="1:75" ht="36">
      <c r="A56" s="519" t="s">
        <v>49</v>
      </c>
      <c r="B56" s="520">
        <v>11</v>
      </c>
      <c r="C56" s="520" t="s">
        <v>19</v>
      </c>
      <c r="D56" s="521">
        <v>4227</v>
      </c>
      <c r="E56" s="522" t="s">
        <v>93</v>
      </c>
      <c r="F56" s="523" t="s">
        <v>682</v>
      </c>
      <c r="G56" s="497">
        <f t="shared" si="5"/>
        <v>155000</v>
      </c>
      <c r="H56" s="498">
        <f t="shared" si="5"/>
        <v>155000</v>
      </c>
      <c r="I56" s="499">
        <f t="shared" si="5"/>
        <v>155000</v>
      </c>
      <c r="J56" s="500">
        <v>30000</v>
      </c>
      <c r="K56" s="501">
        <v>30000</v>
      </c>
      <c r="L56" s="502">
        <v>30000</v>
      </c>
      <c r="M56" s="503"/>
      <c r="N56" s="501"/>
      <c r="O56" s="504"/>
      <c r="P56" s="500"/>
      <c r="Q56" s="501"/>
      <c r="R56" s="502"/>
      <c r="S56" s="503"/>
      <c r="T56" s="501"/>
      <c r="U56" s="504"/>
      <c r="V56" s="500"/>
      <c r="W56" s="501"/>
      <c r="X56" s="502"/>
      <c r="Y56" s="505">
        <f t="shared" si="6"/>
        <v>30000</v>
      </c>
      <c r="Z56" s="506">
        <f t="shared" si="6"/>
        <v>30000</v>
      </c>
      <c r="AA56" s="507">
        <f t="shared" si="6"/>
        <v>30000</v>
      </c>
      <c r="AB56" s="500"/>
      <c r="AC56" s="501"/>
      <c r="AD56" s="502"/>
      <c r="AE56" s="503">
        <v>5000</v>
      </c>
      <c r="AF56" s="501">
        <v>5000</v>
      </c>
      <c r="AG56" s="504">
        <v>5000</v>
      </c>
      <c r="AH56" s="500"/>
      <c r="AI56" s="501"/>
      <c r="AJ56" s="502"/>
      <c r="AK56" s="503"/>
      <c r="AL56" s="501"/>
      <c r="AM56" s="504"/>
      <c r="AN56" s="500"/>
      <c r="AO56" s="501"/>
      <c r="AP56" s="502"/>
      <c r="AQ56" s="503"/>
      <c r="AR56" s="501"/>
      <c r="AS56" s="504"/>
      <c r="AT56" s="500"/>
      <c r="AU56" s="501"/>
      <c r="AV56" s="502"/>
      <c r="AW56" s="503">
        <v>120000</v>
      </c>
      <c r="AX56" s="501">
        <v>120000</v>
      </c>
      <c r="AY56" s="504">
        <v>120000</v>
      </c>
      <c r="AZ56" s="500"/>
      <c r="BA56" s="501"/>
      <c r="BB56" s="502"/>
      <c r="BC56" s="503"/>
      <c r="BD56" s="501"/>
      <c r="BE56" s="504"/>
      <c r="BF56" s="500"/>
      <c r="BG56" s="501"/>
      <c r="BH56" s="502"/>
      <c r="BI56" s="503"/>
      <c r="BJ56" s="501"/>
      <c r="BK56" s="504"/>
      <c r="BL56" s="500"/>
      <c r="BM56" s="501"/>
      <c r="BN56" s="502"/>
      <c r="BO56" s="503"/>
      <c r="BP56" s="501"/>
      <c r="BQ56" s="504"/>
      <c r="BR56" s="513">
        <f t="shared" si="7"/>
        <v>155000</v>
      </c>
      <c r="BS56" s="514">
        <f t="shared" si="7"/>
        <v>155000</v>
      </c>
      <c r="BT56" s="515">
        <f t="shared" si="7"/>
        <v>155000</v>
      </c>
      <c r="BU56" s="516"/>
      <c r="BV56" s="517"/>
      <c r="BW56" s="518"/>
    </row>
    <row r="57" spans="1:75" ht="24">
      <c r="A57" s="519" t="s">
        <v>49</v>
      </c>
      <c r="B57" s="520">
        <v>11</v>
      </c>
      <c r="C57" s="520" t="s">
        <v>19</v>
      </c>
      <c r="D57" s="521">
        <v>4241</v>
      </c>
      <c r="E57" s="522" t="s">
        <v>74</v>
      </c>
      <c r="F57" s="523" t="s">
        <v>682</v>
      </c>
      <c r="G57" s="497">
        <f t="shared" si="5"/>
        <v>439603</v>
      </c>
      <c r="H57" s="498">
        <f t="shared" si="5"/>
        <v>445982</v>
      </c>
      <c r="I57" s="499">
        <f t="shared" si="5"/>
        <v>451268</v>
      </c>
      <c r="J57" s="500"/>
      <c r="K57" s="501"/>
      <c r="L57" s="502"/>
      <c r="M57" s="503">
        <v>4000</v>
      </c>
      <c r="N57" s="501">
        <v>4000</v>
      </c>
      <c r="O57" s="504">
        <v>4000</v>
      </c>
      <c r="P57" s="500">
        <v>1000</v>
      </c>
      <c r="Q57" s="501">
        <v>1000</v>
      </c>
      <c r="R57" s="502">
        <v>1000</v>
      </c>
      <c r="S57" s="503">
        <v>2000</v>
      </c>
      <c r="T57" s="501">
        <v>2000</v>
      </c>
      <c r="U57" s="504">
        <v>2000</v>
      </c>
      <c r="V57" s="500">
        <v>7500</v>
      </c>
      <c r="W57" s="501">
        <v>8500</v>
      </c>
      <c r="X57" s="502">
        <v>8500</v>
      </c>
      <c r="Y57" s="505">
        <f t="shared" si="6"/>
        <v>14500</v>
      </c>
      <c r="Z57" s="506">
        <f t="shared" si="6"/>
        <v>15500</v>
      </c>
      <c r="AA57" s="507">
        <f t="shared" si="6"/>
        <v>15500</v>
      </c>
      <c r="AB57" s="500"/>
      <c r="AC57" s="501"/>
      <c r="AD57" s="502"/>
      <c r="AE57" s="503">
        <v>80000</v>
      </c>
      <c r="AF57" s="501">
        <v>70000</v>
      </c>
      <c r="AG57" s="504">
        <v>70000</v>
      </c>
      <c r="AH57" s="500">
        <v>48057</v>
      </c>
      <c r="AI57" s="501">
        <v>63436</v>
      </c>
      <c r="AJ57" s="502">
        <v>68722</v>
      </c>
      <c r="AK57" s="503"/>
      <c r="AL57" s="501"/>
      <c r="AM57" s="504"/>
      <c r="AN57" s="500">
        <v>20000</v>
      </c>
      <c r="AO57" s="501">
        <v>20000</v>
      </c>
      <c r="AP57" s="502">
        <v>20000</v>
      </c>
      <c r="AQ57" s="503">
        <v>75000</v>
      </c>
      <c r="AR57" s="501">
        <v>75000</v>
      </c>
      <c r="AS57" s="504">
        <v>75000</v>
      </c>
      <c r="AT57" s="500">
        <v>28546</v>
      </c>
      <c r="AU57" s="501">
        <v>28546</v>
      </c>
      <c r="AV57" s="502">
        <v>28546</v>
      </c>
      <c r="AW57" s="503"/>
      <c r="AX57" s="501"/>
      <c r="AY57" s="504"/>
      <c r="AZ57" s="500"/>
      <c r="BA57" s="501"/>
      <c r="BB57" s="502"/>
      <c r="BC57" s="503"/>
      <c r="BD57" s="501"/>
      <c r="BE57" s="504"/>
      <c r="BF57" s="500">
        <v>50000</v>
      </c>
      <c r="BG57" s="501">
        <v>50000</v>
      </c>
      <c r="BH57" s="502">
        <v>50000</v>
      </c>
      <c r="BI57" s="503">
        <v>122000</v>
      </c>
      <c r="BJ57" s="501">
        <v>122000</v>
      </c>
      <c r="BK57" s="504">
        <v>122000</v>
      </c>
      <c r="BL57" s="500">
        <v>1500</v>
      </c>
      <c r="BM57" s="501">
        <v>1500</v>
      </c>
      <c r="BN57" s="502">
        <v>1500</v>
      </c>
      <c r="BO57" s="503"/>
      <c r="BP57" s="501"/>
      <c r="BQ57" s="504"/>
      <c r="BR57" s="513">
        <f t="shared" si="7"/>
        <v>439603</v>
      </c>
      <c r="BS57" s="514">
        <f t="shared" si="7"/>
        <v>445982</v>
      </c>
      <c r="BT57" s="515">
        <f t="shared" si="7"/>
        <v>451268</v>
      </c>
      <c r="BU57" s="516"/>
      <c r="BV57" s="517"/>
      <c r="BW57" s="518"/>
    </row>
    <row r="58" spans="1:75" ht="24">
      <c r="A58" s="519" t="s">
        <v>49</v>
      </c>
      <c r="B58" s="520">
        <v>11</v>
      </c>
      <c r="C58" s="520" t="s">
        <v>19</v>
      </c>
      <c r="D58" s="521">
        <v>4262</v>
      </c>
      <c r="E58" s="522" t="s">
        <v>86</v>
      </c>
      <c r="F58" s="523" t="s">
        <v>682</v>
      </c>
      <c r="G58" s="497">
        <f t="shared" si="5"/>
        <v>275000</v>
      </c>
      <c r="H58" s="498">
        <f t="shared" si="5"/>
        <v>275000</v>
      </c>
      <c r="I58" s="499">
        <f t="shared" si="5"/>
        <v>275000</v>
      </c>
      <c r="J58" s="500">
        <v>150000</v>
      </c>
      <c r="K58" s="501">
        <v>150000</v>
      </c>
      <c r="L58" s="502">
        <v>150000</v>
      </c>
      <c r="M58" s="503"/>
      <c r="N58" s="501"/>
      <c r="O58" s="504"/>
      <c r="P58" s="500"/>
      <c r="Q58" s="501"/>
      <c r="R58" s="502"/>
      <c r="S58" s="503"/>
      <c r="T58" s="501"/>
      <c r="U58" s="504"/>
      <c r="V58" s="500"/>
      <c r="W58" s="501"/>
      <c r="X58" s="502"/>
      <c r="Y58" s="505">
        <f t="shared" si="6"/>
        <v>150000</v>
      </c>
      <c r="Z58" s="506">
        <f t="shared" si="6"/>
        <v>150000</v>
      </c>
      <c r="AA58" s="507">
        <f t="shared" si="6"/>
        <v>150000</v>
      </c>
      <c r="AB58" s="500"/>
      <c r="AC58" s="501"/>
      <c r="AD58" s="502"/>
      <c r="AE58" s="503"/>
      <c r="AF58" s="501"/>
      <c r="AG58" s="504"/>
      <c r="AH58" s="500"/>
      <c r="AI58" s="501"/>
      <c r="AJ58" s="502"/>
      <c r="AK58" s="503"/>
      <c r="AL58" s="501"/>
      <c r="AM58" s="504"/>
      <c r="AN58" s="500">
        <v>90000</v>
      </c>
      <c r="AO58" s="501">
        <v>90000</v>
      </c>
      <c r="AP58" s="502">
        <v>90000</v>
      </c>
      <c r="AQ58" s="503"/>
      <c r="AR58" s="501"/>
      <c r="AS58" s="504"/>
      <c r="AT58" s="500"/>
      <c r="AU58" s="501"/>
      <c r="AV58" s="502"/>
      <c r="AW58" s="503"/>
      <c r="AX58" s="501"/>
      <c r="AY58" s="504"/>
      <c r="AZ58" s="500"/>
      <c r="BA58" s="501"/>
      <c r="BB58" s="502"/>
      <c r="BC58" s="503"/>
      <c r="BD58" s="501"/>
      <c r="BE58" s="504"/>
      <c r="BF58" s="500">
        <v>35000</v>
      </c>
      <c r="BG58" s="501">
        <v>35000</v>
      </c>
      <c r="BH58" s="502">
        <v>35000</v>
      </c>
      <c r="BI58" s="503"/>
      <c r="BJ58" s="501"/>
      <c r="BK58" s="504"/>
      <c r="BL58" s="500"/>
      <c r="BM58" s="501"/>
      <c r="BN58" s="502"/>
      <c r="BO58" s="503"/>
      <c r="BP58" s="501"/>
      <c r="BQ58" s="504"/>
      <c r="BR58" s="513">
        <f t="shared" si="7"/>
        <v>275000</v>
      </c>
      <c r="BS58" s="514">
        <f t="shared" si="7"/>
        <v>275000</v>
      </c>
      <c r="BT58" s="515">
        <f t="shared" si="7"/>
        <v>275000</v>
      </c>
      <c r="BU58" s="516"/>
      <c r="BV58" s="517"/>
      <c r="BW58" s="518"/>
    </row>
    <row r="59" spans="1:75" ht="36">
      <c r="A59" s="519" t="s">
        <v>49</v>
      </c>
      <c r="B59" s="520">
        <v>11</v>
      </c>
      <c r="C59" s="520" t="s">
        <v>19</v>
      </c>
      <c r="D59" s="521">
        <v>4312</v>
      </c>
      <c r="E59" s="522" t="s">
        <v>684</v>
      </c>
      <c r="F59" s="523" t="s">
        <v>682</v>
      </c>
      <c r="G59" s="497">
        <f t="shared" si="5"/>
        <v>5000</v>
      </c>
      <c r="H59" s="498">
        <f t="shared" si="5"/>
        <v>5000</v>
      </c>
      <c r="I59" s="499">
        <f t="shared" si="5"/>
        <v>5000</v>
      </c>
      <c r="J59" s="500">
        <v>5000</v>
      </c>
      <c r="K59" s="501">
        <v>5000</v>
      </c>
      <c r="L59" s="502">
        <v>5000</v>
      </c>
      <c r="M59" s="503"/>
      <c r="N59" s="501"/>
      <c r="O59" s="504"/>
      <c r="P59" s="500"/>
      <c r="Q59" s="501"/>
      <c r="R59" s="502"/>
      <c r="S59" s="503"/>
      <c r="T59" s="501"/>
      <c r="U59" s="504"/>
      <c r="V59" s="500"/>
      <c r="W59" s="501"/>
      <c r="X59" s="502"/>
      <c r="Y59" s="505">
        <f t="shared" si="6"/>
        <v>5000</v>
      </c>
      <c r="Z59" s="506">
        <f t="shared" si="6"/>
        <v>5000</v>
      </c>
      <c r="AA59" s="507">
        <f t="shared" si="6"/>
        <v>5000</v>
      </c>
      <c r="AB59" s="500"/>
      <c r="AC59" s="501"/>
      <c r="AD59" s="502"/>
      <c r="AE59" s="503"/>
      <c r="AF59" s="501"/>
      <c r="AG59" s="504"/>
      <c r="AH59" s="500"/>
      <c r="AI59" s="501"/>
      <c r="AJ59" s="502"/>
      <c r="AK59" s="503"/>
      <c r="AL59" s="501"/>
      <c r="AM59" s="504"/>
      <c r="AN59" s="500"/>
      <c r="AO59" s="501"/>
      <c r="AP59" s="502"/>
      <c r="AQ59" s="503"/>
      <c r="AR59" s="501"/>
      <c r="AS59" s="504"/>
      <c r="AT59" s="500"/>
      <c r="AU59" s="501"/>
      <c r="AV59" s="502"/>
      <c r="AW59" s="503"/>
      <c r="AX59" s="501"/>
      <c r="AY59" s="504"/>
      <c r="AZ59" s="500"/>
      <c r="BA59" s="501"/>
      <c r="BB59" s="502"/>
      <c r="BC59" s="503"/>
      <c r="BD59" s="501"/>
      <c r="BE59" s="504"/>
      <c r="BF59" s="500"/>
      <c r="BG59" s="501"/>
      <c r="BH59" s="502"/>
      <c r="BI59" s="503"/>
      <c r="BJ59" s="501"/>
      <c r="BK59" s="504"/>
      <c r="BL59" s="500"/>
      <c r="BM59" s="501"/>
      <c r="BN59" s="502"/>
      <c r="BO59" s="503"/>
      <c r="BP59" s="501"/>
      <c r="BQ59" s="504"/>
      <c r="BR59" s="513">
        <f t="shared" si="7"/>
        <v>5000</v>
      </c>
      <c r="BS59" s="514">
        <f t="shared" si="7"/>
        <v>5000</v>
      </c>
      <c r="BT59" s="515">
        <f t="shared" si="7"/>
        <v>5000</v>
      </c>
      <c r="BU59" s="516"/>
      <c r="BV59" s="517"/>
      <c r="BW59" s="518"/>
    </row>
    <row r="60" spans="1:75" ht="36.75" thickBot="1">
      <c r="A60" s="524" t="s">
        <v>49</v>
      </c>
      <c r="B60" s="525">
        <v>11</v>
      </c>
      <c r="C60" s="525" t="s">
        <v>19</v>
      </c>
      <c r="D60" s="526">
        <v>4511</v>
      </c>
      <c r="E60" s="527" t="s">
        <v>91</v>
      </c>
      <c r="F60" s="528" t="s">
        <v>682</v>
      </c>
      <c r="G60" s="529">
        <f t="shared" si="5"/>
        <v>1812907</v>
      </c>
      <c r="H60" s="530">
        <f t="shared" si="5"/>
        <v>2618585</v>
      </c>
      <c r="I60" s="531">
        <f t="shared" si="5"/>
        <v>2625550</v>
      </c>
      <c r="J60" s="532">
        <f>2000000-387093</f>
        <v>1612907</v>
      </c>
      <c r="K60" s="533">
        <f>2000000+418585</f>
        <v>2418585</v>
      </c>
      <c r="L60" s="534">
        <f>2000000+425550</f>
        <v>2425550</v>
      </c>
      <c r="M60" s="535"/>
      <c r="N60" s="533"/>
      <c r="O60" s="536"/>
      <c r="P60" s="532"/>
      <c r="Q60" s="533"/>
      <c r="R60" s="534"/>
      <c r="S60" s="535"/>
      <c r="T60" s="533"/>
      <c r="U60" s="536"/>
      <c r="V60" s="532"/>
      <c r="W60" s="533"/>
      <c r="X60" s="534"/>
      <c r="Y60" s="537">
        <f t="shared" si="6"/>
        <v>1612907</v>
      </c>
      <c r="Z60" s="538">
        <f t="shared" si="6"/>
        <v>2418585</v>
      </c>
      <c r="AA60" s="539">
        <f t="shared" si="6"/>
        <v>2425550</v>
      </c>
      <c r="AB60" s="532"/>
      <c r="AC60" s="533"/>
      <c r="AD60" s="534"/>
      <c r="AE60" s="535"/>
      <c r="AF60" s="533"/>
      <c r="AG60" s="536"/>
      <c r="AH60" s="532"/>
      <c r="AI60" s="533"/>
      <c r="AJ60" s="534"/>
      <c r="AK60" s="535"/>
      <c r="AL60" s="533"/>
      <c r="AM60" s="536"/>
      <c r="AN60" s="532"/>
      <c r="AO60" s="533"/>
      <c r="AP60" s="534"/>
      <c r="AQ60" s="535"/>
      <c r="AR60" s="533"/>
      <c r="AS60" s="536"/>
      <c r="AT60" s="532"/>
      <c r="AU60" s="533"/>
      <c r="AV60" s="534"/>
      <c r="AW60" s="535"/>
      <c r="AX60" s="533"/>
      <c r="AY60" s="536"/>
      <c r="AZ60" s="532"/>
      <c r="BA60" s="533"/>
      <c r="BB60" s="534"/>
      <c r="BC60" s="535"/>
      <c r="BD60" s="533"/>
      <c r="BE60" s="536"/>
      <c r="BF60" s="532">
        <v>200000</v>
      </c>
      <c r="BG60" s="533">
        <v>200000</v>
      </c>
      <c r="BH60" s="534">
        <v>200000</v>
      </c>
      <c r="BI60" s="535"/>
      <c r="BJ60" s="533"/>
      <c r="BK60" s="536"/>
      <c r="BL60" s="532"/>
      <c r="BM60" s="533"/>
      <c r="BN60" s="534"/>
      <c r="BO60" s="535"/>
      <c r="BP60" s="533"/>
      <c r="BQ60" s="536"/>
      <c r="BR60" s="546">
        <f t="shared" si="7"/>
        <v>1812907</v>
      </c>
      <c r="BS60" s="547">
        <f t="shared" si="7"/>
        <v>2618585</v>
      </c>
      <c r="BT60" s="548">
        <f t="shared" si="7"/>
        <v>2625550</v>
      </c>
      <c r="BU60" s="549"/>
      <c r="BV60" s="550"/>
      <c r="BW60" s="551"/>
    </row>
    <row r="61" spans="1:75" s="563" customFormat="1" ht="24.75" thickBot="1">
      <c r="A61" s="581" t="s">
        <v>49</v>
      </c>
      <c r="B61" s="554">
        <v>11</v>
      </c>
      <c r="C61" s="554" t="s">
        <v>19</v>
      </c>
      <c r="D61" s="555"/>
      <c r="E61" s="556" t="s">
        <v>161</v>
      </c>
      <c r="F61" s="557" t="s">
        <v>682</v>
      </c>
      <c r="G61" s="216">
        <f t="shared" si="5"/>
        <v>43410803</v>
      </c>
      <c r="H61" s="559">
        <f t="shared" si="5"/>
        <v>46666622</v>
      </c>
      <c r="I61" s="560">
        <f t="shared" si="5"/>
        <v>46666622</v>
      </c>
      <c r="J61" s="561">
        <f t="shared" ref="J61:X61" si="8">SUM(J15:J60)</f>
        <v>10679977</v>
      </c>
      <c r="K61" s="559">
        <f t="shared" si="8"/>
        <v>11485655</v>
      </c>
      <c r="L61" s="562">
        <f t="shared" si="8"/>
        <v>11492620</v>
      </c>
      <c r="M61" s="558">
        <f t="shared" si="8"/>
        <v>918616</v>
      </c>
      <c r="N61" s="559">
        <f t="shared" si="8"/>
        <v>987917</v>
      </c>
      <c r="O61" s="560">
        <f t="shared" si="8"/>
        <v>988583</v>
      </c>
      <c r="P61" s="561">
        <f t="shared" si="8"/>
        <v>286528</v>
      </c>
      <c r="Q61" s="559">
        <f t="shared" si="8"/>
        <v>308144</v>
      </c>
      <c r="R61" s="562">
        <f t="shared" si="8"/>
        <v>308351</v>
      </c>
      <c r="S61" s="558">
        <f t="shared" si="8"/>
        <v>670268</v>
      </c>
      <c r="T61" s="559">
        <f t="shared" si="8"/>
        <v>720833</v>
      </c>
      <c r="U61" s="560">
        <f t="shared" si="8"/>
        <v>721319</v>
      </c>
      <c r="V61" s="561">
        <f t="shared" si="8"/>
        <v>1291739</v>
      </c>
      <c r="W61" s="559">
        <f t="shared" si="8"/>
        <v>1389189</v>
      </c>
      <c r="X61" s="562">
        <f t="shared" si="8"/>
        <v>1390126</v>
      </c>
      <c r="Y61" s="582">
        <f t="shared" si="6"/>
        <v>13847128</v>
      </c>
      <c r="Z61" s="583">
        <f t="shared" si="6"/>
        <v>14891738</v>
      </c>
      <c r="AA61" s="584">
        <f t="shared" si="6"/>
        <v>14900999</v>
      </c>
      <c r="AB61" s="561">
        <f t="shared" ref="AB61:BQ61" si="9">SUM(AB15:AB60)</f>
        <v>1992753</v>
      </c>
      <c r="AC61" s="559">
        <f t="shared" si="9"/>
        <v>2142209</v>
      </c>
      <c r="AD61" s="562">
        <f t="shared" si="9"/>
        <v>2142209</v>
      </c>
      <c r="AE61" s="558">
        <f t="shared" si="9"/>
        <v>2852153</v>
      </c>
      <c r="AF61" s="559">
        <f t="shared" si="9"/>
        <v>3066065</v>
      </c>
      <c r="AG61" s="560">
        <f t="shared" si="9"/>
        <v>3066065</v>
      </c>
      <c r="AH61" s="561">
        <f t="shared" si="9"/>
        <v>3497250</v>
      </c>
      <c r="AI61" s="559">
        <f t="shared" si="9"/>
        <v>3759544</v>
      </c>
      <c r="AJ61" s="562">
        <f t="shared" si="9"/>
        <v>3759544</v>
      </c>
      <c r="AK61" s="558">
        <f t="shared" si="9"/>
        <v>1684290</v>
      </c>
      <c r="AL61" s="559">
        <f t="shared" si="9"/>
        <v>1810612</v>
      </c>
      <c r="AM61" s="560">
        <f t="shared" si="9"/>
        <v>1810612</v>
      </c>
      <c r="AN61" s="561">
        <f t="shared" si="9"/>
        <v>4370303</v>
      </c>
      <c r="AO61" s="559">
        <f t="shared" si="9"/>
        <v>4698076</v>
      </c>
      <c r="AP61" s="562">
        <f t="shared" si="9"/>
        <v>4698076</v>
      </c>
      <c r="AQ61" s="558">
        <f t="shared" si="9"/>
        <v>3215492</v>
      </c>
      <c r="AR61" s="559">
        <f t="shared" si="9"/>
        <v>3456654</v>
      </c>
      <c r="AS61" s="560">
        <f t="shared" si="9"/>
        <v>3456654</v>
      </c>
      <c r="AT61" s="561">
        <f t="shared" si="9"/>
        <v>2101467</v>
      </c>
      <c r="AU61" s="559">
        <f t="shared" si="9"/>
        <v>2259077</v>
      </c>
      <c r="AV61" s="562">
        <f t="shared" si="9"/>
        <v>2259077</v>
      </c>
      <c r="AW61" s="558">
        <f t="shared" si="9"/>
        <v>2505578</v>
      </c>
      <c r="AX61" s="559">
        <f t="shared" si="9"/>
        <v>2693496</v>
      </c>
      <c r="AY61" s="560">
        <f t="shared" si="9"/>
        <v>2693496</v>
      </c>
      <c r="AZ61" s="561">
        <f t="shared" si="9"/>
        <v>292301</v>
      </c>
      <c r="BA61" s="559">
        <f t="shared" si="9"/>
        <v>314224</v>
      </c>
      <c r="BB61" s="562">
        <f t="shared" si="9"/>
        <v>314224</v>
      </c>
      <c r="BC61" s="558">
        <f t="shared" si="9"/>
        <v>715047</v>
      </c>
      <c r="BD61" s="559">
        <f t="shared" si="9"/>
        <v>768675</v>
      </c>
      <c r="BE61" s="560">
        <f t="shared" si="9"/>
        <v>768675</v>
      </c>
      <c r="BF61" s="561">
        <f t="shared" si="9"/>
        <v>2607821</v>
      </c>
      <c r="BG61" s="559">
        <f t="shared" si="9"/>
        <v>2803408</v>
      </c>
      <c r="BH61" s="562">
        <f t="shared" si="9"/>
        <v>2803408</v>
      </c>
      <c r="BI61" s="558">
        <f t="shared" si="9"/>
        <v>1276941</v>
      </c>
      <c r="BJ61" s="559">
        <f t="shared" si="9"/>
        <v>1372711</v>
      </c>
      <c r="BK61" s="560">
        <f t="shared" si="9"/>
        <v>1372711</v>
      </c>
      <c r="BL61" s="561">
        <f t="shared" si="9"/>
        <v>2025148</v>
      </c>
      <c r="BM61" s="559">
        <f t="shared" si="9"/>
        <v>2170967</v>
      </c>
      <c r="BN61" s="562">
        <f t="shared" si="9"/>
        <v>2161706</v>
      </c>
      <c r="BO61" s="558">
        <f t="shared" si="9"/>
        <v>427131</v>
      </c>
      <c r="BP61" s="559">
        <f t="shared" si="9"/>
        <v>459166</v>
      </c>
      <c r="BQ61" s="560">
        <f t="shared" si="9"/>
        <v>459166</v>
      </c>
      <c r="BR61" s="585">
        <f t="shared" si="7"/>
        <v>43410803</v>
      </c>
      <c r="BS61" s="586">
        <f t="shared" si="7"/>
        <v>46666622</v>
      </c>
      <c r="BT61" s="587">
        <f t="shared" si="7"/>
        <v>46666622</v>
      </c>
      <c r="BU61" s="558">
        <f>SUM(BU15:BU60)</f>
        <v>0</v>
      </c>
      <c r="BV61" s="559">
        <f>SUM(BV15:BV60)</f>
        <v>0</v>
      </c>
      <c r="BW61" s="560">
        <f>SUM(BW15:BW60)</f>
        <v>0</v>
      </c>
    </row>
    <row r="62" spans="1:75" s="563" customFormat="1" ht="24.75" thickBot="1">
      <c r="A62" s="581" t="s">
        <v>49</v>
      </c>
      <c r="B62" s="554">
        <v>11</v>
      </c>
      <c r="C62" s="554" t="s">
        <v>19</v>
      </c>
      <c r="D62" s="555">
        <v>3237</v>
      </c>
      <c r="E62" s="556" t="s">
        <v>62</v>
      </c>
      <c r="F62" s="557" t="s">
        <v>685</v>
      </c>
      <c r="G62" s="216">
        <f t="shared" si="5"/>
        <v>181645</v>
      </c>
      <c r="H62" s="559">
        <f t="shared" si="5"/>
        <v>181646</v>
      </c>
      <c r="I62" s="560">
        <f t="shared" si="5"/>
        <v>181646</v>
      </c>
      <c r="J62" s="561">
        <v>0</v>
      </c>
      <c r="K62" s="559">
        <v>0</v>
      </c>
      <c r="L62" s="562">
        <v>0</v>
      </c>
      <c r="M62" s="558">
        <v>36568</v>
      </c>
      <c r="N62" s="559">
        <v>35771</v>
      </c>
      <c r="O62" s="560">
        <v>35771</v>
      </c>
      <c r="P62" s="561">
        <v>24950</v>
      </c>
      <c r="Q62" s="559">
        <v>25080</v>
      </c>
      <c r="R62" s="562">
        <v>25080</v>
      </c>
      <c r="S62" s="558">
        <v>2537</v>
      </c>
      <c r="T62" s="559">
        <v>2550</v>
      </c>
      <c r="U62" s="560">
        <v>2550</v>
      </c>
      <c r="V62" s="561">
        <v>13087</v>
      </c>
      <c r="W62" s="559">
        <v>13219</v>
      </c>
      <c r="X62" s="562">
        <v>13219</v>
      </c>
      <c r="Y62" s="582">
        <f t="shared" si="6"/>
        <v>77142</v>
      </c>
      <c r="Z62" s="583">
        <f t="shared" si="6"/>
        <v>76620</v>
      </c>
      <c r="AA62" s="584">
        <f t="shared" si="6"/>
        <v>76620</v>
      </c>
      <c r="AB62" s="561">
        <v>24995</v>
      </c>
      <c r="AC62" s="559">
        <v>25120</v>
      </c>
      <c r="AD62" s="562">
        <v>25120</v>
      </c>
      <c r="AE62" s="558">
        <v>0</v>
      </c>
      <c r="AF62" s="559">
        <v>0</v>
      </c>
      <c r="AG62" s="560">
        <v>0</v>
      </c>
      <c r="AH62" s="561">
        <v>0</v>
      </c>
      <c r="AI62" s="559">
        <v>0</v>
      </c>
      <c r="AJ62" s="562">
        <v>0</v>
      </c>
      <c r="AK62" s="558">
        <v>0</v>
      </c>
      <c r="AL62" s="559">
        <v>0</v>
      </c>
      <c r="AM62" s="560">
        <v>0</v>
      </c>
      <c r="AN62" s="561">
        <v>0</v>
      </c>
      <c r="AO62" s="559">
        <v>0</v>
      </c>
      <c r="AP62" s="562">
        <v>0</v>
      </c>
      <c r="AQ62" s="558">
        <v>28645</v>
      </c>
      <c r="AR62" s="559">
        <v>28788</v>
      </c>
      <c r="AS62" s="560">
        <v>28788</v>
      </c>
      <c r="AT62" s="561">
        <v>35536</v>
      </c>
      <c r="AU62" s="559">
        <v>35715</v>
      </c>
      <c r="AV62" s="562">
        <v>35715</v>
      </c>
      <c r="AW62" s="558">
        <v>0</v>
      </c>
      <c r="AX62" s="559">
        <v>0</v>
      </c>
      <c r="AY62" s="560">
        <v>0</v>
      </c>
      <c r="AZ62" s="561">
        <v>0</v>
      </c>
      <c r="BA62" s="559">
        <v>0</v>
      </c>
      <c r="BB62" s="562">
        <v>0</v>
      </c>
      <c r="BC62" s="558">
        <v>15327</v>
      </c>
      <c r="BD62" s="559">
        <v>15403</v>
      </c>
      <c r="BE62" s="560">
        <v>15403</v>
      </c>
      <c r="BF62" s="561">
        <v>0</v>
      </c>
      <c r="BG62" s="559">
        <v>0</v>
      </c>
      <c r="BH62" s="562">
        <v>0</v>
      </c>
      <c r="BI62" s="558">
        <v>0</v>
      </c>
      <c r="BJ62" s="559">
        <v>0</v>
      </c>
      <c r="BK62" s="560">
        <v>0</v>
      </c>
      <c r="BL62" s="561">
        <v>0</v>
      </c>
      <c r="BM62" s="559">
        <v>0</v>
      </c>
      <c r="BN62" s="562">
        <v>0</v>
      </c>
      <c r="BO62" s="558">
        <v>0</v>
      </c>
      <c r="BP62" s="559">
        <v>0</v>
      </c>
      <c r="BQ62" s="560">
        <v>0</v>
      </c>
      <c r="BR62" s="585">
        <f t="shared" si="7"/>
        <v>181645</v>
      </c>
      <c r="BS62" s="586">
        <f t="shared" si="7"/>
        <v>181646</v>
      </c>
      <c r="BT62" s="587">
        <f t="shared" si="7"/>
        <v>181646</v>
      </c>
      <c r="BU62" s="558">
        <v>0</v>
      </c>
      <c r="BV62" s="559">
        <v>0</v>
      </c>
      <c r="BW62" s="560">
        <v>0</v>
      </c>
    </row>
    <row r="63" spans="1:75" s="598" customFormat="1" ht="24.75" thickBot="1">
      <c r="A63" s="588" t="s">
        <v>49</v>
      </c>
      <c r="B63" s="589">
        <v>11</v>
      </c>
      <c r="C63" s="589" t="s">
        <v>19</v>
      </c>
      <c r="D63" s="590"/>
      <c r="E63" s="591" t="s">
        <v>708</v>
      </c>
      <c r="F63" s="592"/>
      <c r="G63" s="593">
        <f t="shared" ref="G63:BR63" si="10">G14+G61+G62</f>
        <v>386180008</v>
      </c>
      <c r="H63" s="594">
        <f t="shared" si="10"/>
        <v>389435828</v>
      </c>
      <c r="I63" s="595">
        <f t="shared" si="10"/>
        <v>389435828</v>
      </c>
      <c r="J63" s="596">
        <f t="shared" si="10"/>
        <v>22653062</v>
      </c>
      <c r="K63" s="594">
        <f t="shared" si="10"/>
        <v>23430338</v>
      </c>
      <c r="L63" s="597">
        <f t="shared" si="10"/>
        <v>23434906</v>
      </c>
      <c r="M63" s="593">
        <f t="shared" si="10"/>
        <v>13464561</v>
      </c>
      <c r="N63" s="594">
        <f t="shared" si="10"/>
        <v>13533065</v>
      </c>
      <c r="O63" s="595">
        <f t="shared" si="10"/>
        <v>13533731</v>
      </c>
      <c r="P63" s="596">
        <f t="shared" si="10"/>
        <v>6532454</v>
      </c>
      <c r="Q63" s="594">
        <f t="shared" si="10"/>
        <v>6554200</v>
      </c>
      <c r="R63" s="597">
        <f t="shared" si="10"/>
        <v>6554407</v>
      </c>
      <c r="S63" s="593">
        <f t="shared" si="10"/>
        <v>7484974</v>
      </c>
      <c r="T63" s="594">
        <f t="shared" si="10"/>
        <v>7535552</v>
      </c>
      <c r="U63" s="595">
        <f t="shared" si="10"/>
        <v>7536038</v>
      </c>
      <c r="V63" s="596">
        <f t="shared" si="10"/>
        <v>11859765</v>
      </c>
      <c r="W63" s="594">
        <f t="shared" si="10"/>
        <v>11957347</v>
      </c>
      <c r="X63" s="597">
        <f t="shared" si="10"/>
        <v>11958284</v>
      </c>
      <c r="Y63" s="593">
        <f t="shared" si="10"/>
        <v>61994816</v>
      </c>
      <c r="Z63" s="594">
        <f t="shared" si="10"/>
        <v>63010502</v>
      </c>
      <c r="AA63" s="595">
        <f t="shared" si="10"/>
        <v>63017366</v>
      </c>
      <c r="AB63" s="596">
        <f t="shared" si="10"/>
        <v>32493829</v>
      </c>
      <c r="AC63" s="594">
        <f t="shared" si="10"/>
        <v>32646373</v>
      </c>
      <c r="AD63" s="597">
        <f t="shared" si="10"/>
        <v>32650460</v>
      </c>
      <c r="AE63" s="593">
        <f t="shared" si="10"/>
        <v>23963923</v>
      </c>
      <c r="AF63" s="594">
        <f t="shared" si="10"/>
        <v>24179875</v>
      </c>
      <c r="AG63" s="595">
        <f t="shared" si="10"/>
        <v>24179778</v>
      </c>
      <c r="AH63" s="596">
        <f t="shared" si="10"/>
        <v>50961525</v>
      </c>
      <c r="AI63" s="594">
        <f t="shared" si="10"/>
        <v>51228378</v>
      </c>
      <c r="AJ63" s="597">
        <f t="shared" si="10"/>
        <v>51228124</v>
      </c>
      <c r="AK63" s="593">
        <f t="shared" si="10"/>
        <v>17295007</v>
      </c>
      <c r="AL63" s="594">
        <f t="shared" si="10"/>
        <v>17422802</v>
      </c>
      <c r="AM63" s="595">
        <f t="shared" si="10"/>
        <v>17422681</v>
      </c>
      <c r="AN63" s="596">
        <f t="shared" si="10"/>
        <v>31515909</v>
      </c>
      <c r="AO63" s="594">
        <f t="shared" si="10"/>
        <v>31846329</v>
      </c>
      <c r="AP63" s="597">
        <f t="shared" si="10"/>
        <v>31846239</v>
      </c>
      <c r="AQ63" s="593">
        <f t="shared" si="10"/>
        <v>44408714</v>
      </c>
      <c r="AR63" s="594">
        <f t="shared" si="10"/>
        <v>44654010</v>
      </c>
      <c r="AS63" s="595">
        <f t="shared" si="10"/>
        <v>44653843</v>
      </c>
      <c r="AT63" s="596">
        <f t="shared" si="10"/>
        <v>19773236</v>
      </c>
      <c r="AU63" s="594">
        <f t="shared" si="10"/>
        <v>19932706</v>
      </c>
      <c r="AV63" s="597">
        <f t="shared" si="10"/>
        <v>19932219</v>
      </c>
      <c r="AW63" s="593">
        <f t="shared" si="10"/>
        <v>20868275</v>
      </c>
      <c r="AX63" s="594">
        <f t="shared" si="10"/>
        <v>21057959</v>
      </c>
      <c r="AY63" s="595">
        <f t="shared" si="10"/>
        <v>21057863</v>
      </c>
      <c r="AZ63" s="596">
        <f t="shared" si="10"/>
        <v>8034426</v>
      </c>
      <c r="BA63" s="594">
        <f t="shared" si="10"/>
        <v>8057104</v>
      </c>
      <c r="BB63" s="597">
        <f t="shared" si="10"/>
        <v>8057080</v>
      </c>
      <c r="BC63" s="593">
        <f t="shared" si="10"/>
        <v>5201987</v>
      </c>
      <c r="BD63" s="594">
        <f t="shared" si="10"/>
        <v>5256120</v>
      </c>
      <c r="BE63" s="595">
        <f t="shared" si="10"/>
        <v>5256092</v>
      </c>
      <c r="BF63" s="596">
        <f t="shared" si="10"/>
        <v>23268535</v>
      </c>
      <c r="BG63" s="594">
        <f t="shared" si="10"/>
        <v>23466099</v>
      </c>
      <c r="BH63" s="597">
        <f t="shared" si="10"/>
        <v>23465975</v>
      </c>
      <c r="BI63" s="593">
        <f t="shared" si="10"/>
        <v>19705590</v>
      </c>
      <c r="BJ63" s="594">
        <f t="shared" si="10"/>
        <v>19803159</v>
      </c>
      <c r="BK63" s="595">
        <f t="shared" si="10"/>
        <v>19803100</v>
      </c>
      <c r="BL63" s="596">
        <f t="shared" si="10"/>
        <v>21537831</v>
      </c>
      <c r="BM63" s="594">
        <f t="shared" si="10"/>
        <v>21685529</v>
      </c>
      <c r="BN63" s="597">
        <f t="shared" si="10"/>
        <v>21676169</v>
      </c>
      <c r="BO63" s="593">
        <f t="shared" si="10"/>
        <v>5156405</v>
      </c>
      <c r="BP63" s="594">
        <f t="shared" si="10"/>
        <v>5188883</v>
      </c>
      <c r="BQ63" s="595">
        <f t="shared" si="10"/>
        <v>5188839</v>
      </c>
      <c r="BR63" s="596">
        <f t="shared" si="10"/>
        <v>386180008</v>
      </c>
      <c r="BS63" s="594">
        <f t="shared" ref="BS63:BW63" si="11">BS14+BS61+BS62</f>
        <v>389435828</v>
      </c>
      <c r="BT63" s="597">
        <f t="shared" si="11"/>
        <v>389435828</v>
      </c>
      <c r="BU63" s="593">
        <f t="shared" si="11"/>
        <v>0</v>
      </c>
      <c r="BV63" s="594">
        <f t="shared" si="11"/>
        <v>0</v>
      </c>
      <c r="BW63" s="595">
        <f t="shared" si="11"/>
        <v>0</v>
      </c>
    </row>
    <row r="64" spans="1:75" ht="24">
      <c r="A64" s="470" t="s">
        <v>49</v>
      </c>
      <c r="B64" s="471">
        <v>31</v>
      </c>
      <c r="C64" s="471" t="s">
        <v>22</v>
      </c>
      <c r="D64" s="472">
        <v>3111</v>
      </c>
      <c r="E64" s="473" t="s">
        <v>50</v>
      </c>
      <c r="F64" s="474" t="s">
        <v>686</v>
      </c>
      <c r="G64" s="564">
        <f t="shared" ref="G64:I107" si="12">BR64+BU64</f>
        <v>5451000</v>
      </c>
      <c r="H64" s="565">
        <f t="shared" si="12"/>
        <v>5512260</v>
      </c>
      <c r="I64" s="566">
        <f t="shared" si="12"/>
        <v>5578617</v>
      </c>
      <c r="J64" s="567">
        <v>150000</v>
      </c>
      <c r="K64" s="568">
        <v>200000</v>
      </c>
      <c r="L64" s="569">
        <v>250000</v>
      </c>
      <c r="M64" s="570">
        <v>456000</v>
      </c>
      <c r="N64" s="568">
        <v>460560</v>
      </c>
      <c r="O64" s="571">
        <v>465200</v>
      </c>
      <c r="P64" s="567"/>
      <c r="Q64" s="568"/>
      <c r="R64" s="569"/>
      <c r="S64" s="570"/>
      <c r="T64" s="568"/>
      <c r="U64" s="571"/>
      <c r="V64" s="567"/>
      <c r="W64" s="568"/>
      <c r="X64" s="569"/>
      <c r="Y64" s="572">
        <f t="shared" ref="Y64:AA107" si="13">J64+M64+P64+S64+V64</f>
        <v>606000</v>
      </c>
      <c r="Z64" s="573">
        <f t="shared" si="13"/>
        <v>660560</v>
      </c>
      <c r="AA64" s="574">
        <f t="shared" si="13"/>
        <v>715200</v>
      </c>
      <c r="AB64" s="567">
        <v>50000</v>
      </c>
      <c r="AC64" s="568">
        <v>50000</v>
      </c>
      <c r="AD64" s="569">
        <v>50000</v>
      </c>
      <c r="AE64" s="570"/>
      <c r="AF64" s="568"/>
      <c r="AG64" s="571"/>
      <c r="AH64" s="567">
        <v>42000</v>
      </c>
      <c r="AI64" s="568">
        <v>45000</v>
      </c>
      <c r="AJ64" s="569">
        <v>45000</v>
      </c>
      <c r="AK64" s="570"/>
      <c r="AL64" s="568"/>
      <c r="AM64" s="571"/>
      <c r="AN64" s="567">
        <v>500000</v>
      </c>
      <c r="AO64" s="568">
        <v>500000</v>
      </c>
      <c r="AP64" s="569">
        <v>500000</v>
      </c>
      <c r="AQ64" s="570">
        <v>3000000</v>
      </c>
      <c r="AR64" s="568">
        <v>3005000</v>
      </c>
      <c r="AS64" s="571">
        <v>3010000</v>
      </c>
      <c r="AT64" s="567">
        <v>170000</v>
      </c>
      <c r="AU64" s="568">
        <v>171700</v>
      </c>
      <c r="AV64" s="569">
        <v>173417</v>
      </c>
      <c r="AW64" s="570">
        <v>350000</v>
      </c>
      <c r="AX64" s="568">
        <v>360000</v>
      </c>
      <c r="AY64" s="571">
        <v>360000</v>
      </c>
      <c r="AZ64" s="567"/>
      <c r="BA64" s="568"/>
      <c r="BB64" s="569"/>
      <c r="BC64" s="570"/>
      <c r="BD64" s="568"/>
      <c r="BE64" s="571"/>
      <c r="BF64" s="567">
        <v>176000</v>
      </c>
      <c r="BG64" s="568">
        <v>176000</v>
      </c>
      <c r="BH64" s="569">
        <v>176000</v>
      </c>
      <c r="BI64" s="570">
        <v>237000</v>
      </c>
      <c r="BJ64" s="568">
        <v>224000</v>
      </c>
      <c r="BK64" s="571">
        <v>229000</v>
      </c>
      <c r="BL64" s="567"/>
      <c r="BM64" s="568"/>
      <c r="BN64" s="569"/>
      <c r="BO64" s="570"/>
      <c r="BP64" s="568"/>
      <c r="BQ64" s="571"/>
      <c r="BR64" s="575">
        <f t="shared" ref="BR64:BT107" si="14">AB64+AE64+AH64+AK64+AN64+AQ64+AT64+AW64+AZ64+BC64+BF64+BI64+BL64+BO64+Y64</f>
        <v>5131000</v>
      </c>
      <c r="BS64" s="576">
        <f t="shared" si="14"/>
        <v>5192260</v>
      </c>
      <c r="BT64" s="577">
        <f t="shared" si="14"/>
        <v>5258617</v>
      </c>
      <c r="BU64" s="570">
        <v>320000</v>
      </c>
      <c r="BV64" s="568">
        <v>320000</v>
      </c>
      <c r="BW64" s="571">
        <v>320000</v>
      </c>
    </row>
    <row r="65" spans="1:75" ht="24">
      <c r="A65" s="519" t="s">
        <v>49</v>
      </c>
      <c r="B65" s="520">
        <v>31</v>
      </c>
      <c r="C65" s="520" t="s">
        <v>22</v>
      </c>
      <c r="D65" s="521">
        <v>3121</v>
      </c>
      <c r="E65" s="522" t="s">
        <v>51</v>
      </c>
      <c r="F65" s="523" t="s">
        <v>686</v>
      </c>
      <c r="G65" s="497">
        <f t="shared" si="12"/>
        <v>2956300</v>
      </c>
      <c r="H65" s="498">
        <f t="shared" si="12"/>
        <v>2888220</v>
      </c>
      <c r="I65" s="499">
        <f t="shared" si="12"/>
        <v>2851341</v>
      </c>
      <c r="J65" s="500">
        <v>250000</v>
      </c>
      <c r="K65" s="501">
        <v>300000</v>
      </c>
      <c r="L65" s="502">
        <v>350000</v>
      </c>
      <c r="M65" s="503">
        <v>121000</v>
      </c>
      <c r="N65" s="501">
        <v>122500</v>
      </c>
      <c r="O65" s="504">
        <v>123500</v>
      </c>
      <c r="P65" s="500"/>
      <c r="Q65" s="501"/>
      <c r="R65" s="502"/>
      <c r="S65" s="503"/>
      <c r="T65" s="501"/>
      <c r="U65" s="504"/>
      <c r="V65" s="500"/>
      <c r="W65" s="501"/>
      <c r="X65" s="502"/>
      <c r="Y65" s="505">
        <f t="shared" si="13"/>
        <v>371000</v>
      </c>
      <c r="Z65" s="506">
        <f t="shared" si="13"/>
        <v>422500</v>
      </c>
      <c r="AA65" s="507">
        <f t="shared" si="13"/>
        <v>473500</v>
      </c>
      <c r="AB65" s="500"/>
      <c r="AC65" s="501"/>
      <c r="AD65" s="502"/>
      <c r="AE65" s="503">
        <v>578000</v>
      </c>
      <c r="AF65" s="501">
        <v>500000</v>
      </c>
      <c r="AG65" s="504">
        <v>500000</v>
      </c>
      <c r="AH65" s="500">
        <v>566000</v>
      </c>
      <c r="AI65" s="501">
        <v>520000</v>
      </c>
      <c r="AJ65" s="502">
        <v>520000</v>
      </c>
      <c r="AK65" s="503"/>
      <c r="AL65" s="501"/>
      <c r="AM65" s="504"/>
      <c r="AN65" s="500">
        <v>300000</v>
      </c>
      <c r="AO65" s="501">
        <v>300000</v>
      </c>
      <c r="AP65" s="502">
        <v>300000</v>
      </c>
      <c r="AQ65" s="503">
        <v>615000</v>
      </c>
      <c r="AR65" s="501">
        <v>615000</v>
      </c>
      <c r="AS65" s="504">
        <v>615000</v>
      </c>
      <c r="AT65" s="500">
        <v>12000</v>
      </c>
      <c r="AU65" s="501">
        <v>12120</v>
      </c>
      <c r="AV65" s="502">
        <v>12241</v>
      </c>
      <c r="AW65" s="503">
        <v>15000</v>
      </c>
      <c r="AX65" s="501">
        <v>15000</v>
      </c>
      <c r="AY65" s="504">
        <v>15000</v>
      </c>
      <c r="AZ65" s="500">
        <v>67300</v>
      </c>
      <c r="BA65" s="501">
        <v>71600</v>
      </c>
      <c r="BB65" s="502">
        <v>73600</v>
      </c>
      <c r="BC65" s="503"/>
      <c r="BD65" s="501"/>
      <c r="BE65" s="504"/>
      <c r="BF65" s="500"/>
      <c r="BG65" s="501"/>
      <c r="BH65" s="502"/>
      <c r="BI65" s="503"/>
      <c r="BJ65" s="501"/>
      <c r="BK65" s="504"/>
      <c r="BL65" s="500">
        <v>150000</v>
      </c>
      <c r="BM65" s="501">
        <v>150000</v>
      </c>
      <c r="BN65" s="502">
        <v>60000</v>
      </c>
      <c r="BO65" s="503"/>
      <c r="BP65" s="501"/>
      <c r="BQ65" s="504"/>
      <c r="BR65" s="513">
        <f t="shared" si="14"/>
        <v>2674300</v>
      </c>
      <c r="BS65" s="514">
        <f t="shared" si="14"/>
        <v>2606220</v>
      </c>
      <c r="BT65" s="515">
        <f t="shared" si="14"/>
        <v>2569341</v>
      </c>
      <c r="BU65" s="503">
        <v>282000</v>
      </c>
      <c r="BV65" s="501">
        <v>282000</v>
      </c>
      <c r="BW65" s="504">
        <v>282000</v>
      </c>
    </row>
    <row r="66" spans="1:75" ht="36">
      <c r="A66" s="519" t="s">
        <v>49</v>
      </c>
      <c r="B66" s="520">
        <v>31</v>
      </c>
      <c r="C66" s="520" t="s">
        <v>22</v>
      </c>
      <c r="D66" s="521">
        <v>3132</v>
      </c>
      <c r="E66" s="522" t="s">
        <v>52</v>
      </c>
      <c r="F66" s="523" t="s">
        <v>686</v>
      </c>
      <c r="G66" s="497">
        <f t="shared" si="12"/>
        <v>3482030</v>
      </c>
      <c r="H66" s="498">
        <f t="shared" si="12"/>
        <v>3482531</v>
      </c>
      <c r="I66" s="499">
        <f t="shared" si="12"/>
        <v>3505389</v>
      </c>
      <c r="J66" s="500">
        <v>22500</v>
      </c>
      <c r="K66" s="501">
        <v>30000</v>
      </c>
      <c r="L66" s="502">
        <v>37500</v>
      </c>
      <c r="M66" s="503">
        <v>75000</v>
      </c>
      <c r="N66" s="501">
        <v>75750</v>
      </c>
      <c r="O66" s="504">
        <v>76000</v>
      </c>
      <c r="P66" s="500"/>
      <c r="Q66" s="501"/>
      <c r="R66" s="502"/>
      <c r="S66" s="503"/>
      <c r="T66" s="501"/>
      <c r="U66" s="504"/>
      <c r="V66" s="500"/>
      <c r="W66" s="501"/>
      <c r="X66" s="502"/>
      <c r="Y66" s="505">
        <f t="shared" si="13"/>
        <v>97500</v>
      </c>
      <c r="Z66" s="506">
        <f t="shared" si="13"/>
        <v>105750</v>
      </c>
      <c r="AA66" s="507">
        <f t="shared" si="13"/>
        <v>113500</v>
      </c>
      <c r="AB66" s="500"/>
      <c r="AC66" s="501"/>
      <c r="AD66" s="502"/>
      <c r="AE66" s="503"/>
      <c r="AF66" s="501"/>
      <c r="AG66" s="504"/>
      <c r="AH66" s="500">
        <v>48930</v>
      </c>
      <c r="AI66" s="501">
        <v>52425</v>
      </c>
      <c r="AJ66" s="502">
        <v>52425</v>
      </c>
      <c r="AK66" s="503"/>
      <c r="AL66" s="501"/>
      <c r="AM66" s="504"/>
      <c r="AN66" s="500">
        <v>83000</v>
      </c>
      <c r="AO66" s="501">
        <v>83000</v>
      </c>
      <c r="AP66" s="502">
        <v>83000</v>
      </c>
      <c r="AQ66" s="503">
        <v>495000</v>
      </c>
      <c r="AR66" s="501">
        <v>495825</v>
      </c>
      <c r="AS66" s="504">
        <v>496650</v>
      </c>
      <c r="AT66" s="500">
        <v>28050</v>
      </c>
      <c r="AU66" s="501">
        <v>28331</v>
      </c>
      <c r="AV66" s="502">
        <v>28614</v>
      </c>
      <c r="AW66" s="503">
        <v>57750</v>
      </c>
      <c r="AX66" s="501">
        <v>59400</v>
      </c>
      <c r="AY66" s="504">
        <v>59400</v>
      </c>
      <c r="AZ66" s="500"/>
      <c r="BA66" s="501"/>
      <c r="BB66" s="502"/>
      <c r="BC66" s="503"/>
      <c r="BD66" s="501"/>
      <c r="BE66" s="504"/>
      <c r="BF66" s="500">
        <v>29800</v>
      </c>
      <c r="BG66" s="501">
        <v>29800</v>
      </c>
      <c r="BH66" s="502">
        <v>29800</v>
      </c>
      <c r="BI66" s="503">
        <v>42000</v>
      </c>
      <c r="BJ66" s="501">
        <v>28000</v>
      </c>
      <c r="BK66" s="504">
        <v>42000</v>
      </c>
      <c r="BL66" s="500"/>
      <c r="BM66" s="501"/>
      <c r="BN66" s="502"/>
      <c r="BO66" s="503"/>
      <c r="BP66" s="501"/>
      <c r="BQ66" s="504"/>
      <c r="BR66" s="513">
        <f t="shared" si="14"/>
        <v>882030</v>
      </c>
      <c r="BS66" s="514">
        <f t="shared" si="14"/>
        <v>882531</v>
      </c>
      <c r="BT66" s="515">
        <f t="shared" si="14"/>
        <v>905389</v>
      </c>
      <c r="BU66" s="503">
        <v>2600000</v>
      </c>
      <c r="BV66" s="501">
        <v>2600000</v>
      </c>
      <c r="BW66" s="504">
        <v>2600000</v>
      </c>
    </row>
    <row r="67" spans="1:75" ht="24">
      <c r="A67" s="519" t="s">
        <v>49</v>
      </c>
      <c r="B67" s="520">
        <v>31</v>
      </c>
      <c r="C67" s="520" t="s">
        <v>22</v>
      </c>
      <c r="D67" s="521">
        <v>3211</v>
      </c>
      <c r="E67" s="522" t="s">
        <v>60</v>
      </c>
      <c r="F67" s="523" t="s">
        <v>686</v>
      </c>
      <c r="G67" s="497">
        <f t="shared" si="12"/>
        <v>1169500</v>
      </c>
      <c r="H67" s="498">
        <f t="shared" si="12"/>
        <v>1151550</v>
      </c>
      <c r="I67" s="499">
        <f t="shared" si="12"/>
        <v>1159405</v>
      </c>
      <c r="J67" s="500"/>
      <c r="K67" s="501"/>
      <c r="L67" s="502"/>
      <c r="M67" s="503">
        <v>60000</v>
      </c>
      <c r="N67" s="501">
        <v>60600</v>
      </c>
      <c r="O67" s="504">
        <v>61000</v>
      </c>
      <c r="P67" s="500">
        <v>30000</v>
      </c>
      <c r="Q67" s="501">
        <v>40000</v>
      </c>
      <c r="R67" s="502">
        <v>40000</v>
      </c>
      <c r="S67" s="503"/>
      <c r="T67" s="501"/>
      <c r="U67" s="504"/>
      <c r="V67" s="500"/>
      <c r="W67" s="501"/>
      <c r="X67" s="502"/>
      <c r="Y67" s="505">
        <f t="shared" si="13"/>
        <v>90000</v>
      </c>
      <c r="Z67" s="506">
        <f t="shared" si="13"/>
        <v>100600</v>
      </c>
      <c r="AA67" s="507">
        <f t="shared" si="13"/>
        <v>101000</v>
      </c>
      <c r="AB67" s="500">
        <v>40000</v>
      </c>
      <c r="AC67" s="501">
        <v>40000</v>
      </c>
      <c r="AD67" s="502">
        <v>40000</v>
      </c>
      <c r="AE67" s="503">
        <v>120000</v>
      </c>
      <c r="AF67" s="501">
        <v>100000</v>
      </c>
      <c r="AG67" s="504">
        <v>100000</v>
      </c>
      <c r="AH67" s="500">
        <v>660000</v>
      </c>
      <c r="AI67" s="501">
        <v>650000</v>
      </c>
      <c r="AJ67" s="502">
        <v>650000</v>
      </c>
      <c r="AK67" s="503"/>
      <c r="AL67" s="501"/>
      <c r="AM67" s="504"/>
      <c r="AN67" s="500">
        <v>20000</v>
      </c>
      <c r="AO67" s="501">
        <v>20000</v>
      </c>
      <c r="AP67" s="502">
        <v>20000</v>
      </c>
      <c r="AQ67" s="503">
        <v>100000</v>
      </c>
      <c r="AR67" s="501">
        <v>104000</v>
      </c>
      <c r="AS67" s="504">
        <v>108000</v>
      </c>
      <c r="AT67" s="500">
        <v>45000</v>
      </c>
      <c r="AU67" s="501">
        <v>45450</v>
      </c>
      <c r="AV67" s="502">
        <v>45905</v>
      </c>
      <c r="AW67" s="503">
        <v>15000</v>
      </c>
      <c r="AX67" s="501">
        <v>15000</v>
      </c>
      <c r="AY67" s="504">
        <v>15000</v>
      </c>
      <c r="AZ67" s="500"/>
      <c r="BA67" s="501"/>
      <c r="BB67" s="502"/>
      <c r="BC67" s="503"/>
      <c r="BD67" s="501"/>
      <c r="BE67" s="504"/>
      <c r="BF67" s="500">
        <v>51000</v>
      </c>
      <c r="BG67" s="501">
        <v>51000</v>
      </c>
      <c r="BH67" s="502">
        <v>51000</v>
      </c>
      <c r="BI67" s="503">
        <v>6000</v>
      </c>
      <c r="BJ67" s="501">
        <v>2000</v>
      </c>
      <c r="BK67" s="504">
        <v>4000</v>
      </c>
      <c r="BL67" s="500">
        <v>10000</v>
      </c>
      <c r="BM67" s="501">
        <v>11000</v>
      </c>
      <c r="BN67" s="502">
        <v>12000</v>
      </c>
      <c r="BO67" s="503"/>
      <c r="BP67" s="501"/>
      <c r="BQ67" s="504"/>
      <c r="BR67" s="513">
        <f t="shared" si="14"/>
        <v>1157000</v>
      </c>
      <c r="BS67" s="514">
        <f t="shared" si="14"/>
        <v>1139050</v>
      </c>
      <c r="BT67" s="515">
        <f t="shared" si="14"/>
        <v>1146905</v>
      </c>
      <c r="BU67" s="503">
        <v>12500</v>
      </c>
      <c r="BV67" s="501">
        <v>12500</v>
      </c>
      <c r="BW67" s="504">
        <v>12500</v>
      </c>
    </row>
    <row r="68" spans="1:75" ht="36">
      <c r="A68" s="519" t="s">
        <v>49</v>
      </c>
      <c r="B68" s="520">
        <v>31</v>
      </c>
      <c r="C68" s="520" t="s">
        <v>22</v>
      </c>
      <c r="D68" s="521">
        <v>3212</v>
      </c>
      <c r="E68" s="522" t="s">
        <v>754</v>
      </c>
      <c r="F68" s="523" t="s">
        <v>686</v>
      </c>
      <c r="G68" s="497">
        <f t="shared" si="12"/>
        <v>1542000</v>
      </c>
      <c r="H68" s="498">
        <f t="shared" si="12"/>
        <v>1542100</v>
      </c>
      <c r="I68" s="499">
        <f t="shared" si="12"/>
        <v>1542200</v>
      </c>
      <c r="J68" s="500"/>
      <c r="K68" s="501"/>
      <c r="L68" s="502"/>
      <c r="M68" s="503">
        <v>8000</v>
      </c>
      <c r="N68" s="501">
        <v>8100</v>
      </c>
      <c r="O68" s="504">
        <v>8200</v>
      </c>
      <c r="P68" s="500"/>
      <c r="Q68" s="501"/>
      <c r="R68" s="502"/>
      <c r="S68" s="503"/>
      <c r="T68" s="501"/>
      <c r="U68" s="504"/>
      <c r="V68" s="500"/>
      <c r="W68" s="501"/>
      <c r="X68" s="502"/>
      <c r="Y68" s="505">
        <f t="shared" si="13"/>
        <v>8000</v>
      </c>
      <c r="Z68" s="506">
        <f t="shared" si="13"/>
        <v>8100</v>
      </c>
      <c r="AA68" s="507">
        <f t="shared" si="13"/>
        <v>8200</v>
      </c>
      <c r="AB68" s="500"/>
      <c r="AC68" s="501"/>
      <c r="AD68" s="502"/>
      <c r="AE68" s="503"/>
      <c r="AF68" s="501"/>
      <c r="AG68" s="504"/>
      <c r="AH68" s="500"/>
      <c r="AI68" s="501"/>
      <c r="AJ68" s="502"/>
      <c r="AK68" s="503"/>
      <c r="AL68" s="501"/>
      <c r="AM68" s="504"/>
      <c r="AN68" s="500"/>
      <c r="AO68" s="501"/>
      <c r="AP68" s="502"/>
      <c r="AQ68" s="503"/>
      <c r="AR68" s="501"/>
      <c r="AS68" s="504"/>
      <c r="AT68" s="500"/>
      <c r="AU68" s="501"/>
      <c r="AV68" s="502"/>
      <c r="AW68" s="503"/>
      <c r="AX68" s="501"/>
      <c r="AY68" s="504"/>
      <c r="AZ68" s="500"/>
      <c r="BA68" s="501"/>
      <c r="BB68" s="502"/>
      <c r="BC68" s="503"/>
      <c r="BD68" s="501"/>
      <c r="BE68" s="504"/>
      <c r="BF68" s="500"/>
      <c r="BG68" s="501"/>
      <c r="BH68" s="502"/>
      <c r="BI68" s="503"/>
      <c r="BJ68" s="501"/>
      <c r="BK68" s="504"/>
      <c r="BL68" s="500"/>
      <c r="BM68" s="501"/>
      <c r="BN68" s="502"/>
      <c r="BO68" s="503"/>
      <c r="BP68" s="501"/>
      <c r="BQ68" s="504"/>
      <c r="BR68" s="513">
        <f t="shared" si="14"/>
        <v>8000</v>
      </c>
      <c r="BS68" s="514">
        <f t="shared" si="14"/>
        <v>8100</v>
      </c>
      <c r="BT68" s="515">
        <f t="shared" si="14"/>
        <v>8200</v>
      </c>
      <c r="BU68" s="503">
        <v>1534000</v>
      </c>
      <c r="BV68" s="501">
        <v>1534000</v>
      </c>
      <c r="BW68" s="504">
        <v>1534000</v>
      </c>
    </row>
    <row r="69" spans="1:75" ht="24">
      <c r="A69" s="519" t="s">
        <v>49</v>
      </c>
      <c r="B69" s="520">
        <v>31</v>
      </c>
      <c r="C69" s="520" t="s">
        <v>22</v>
      </c>
      <c r="D69" s="521">
        <v>3213</v>
      </c>
      <c r="E69" s="522" t="s">
        <v>64</v>
      </c>
      <c r="F69" s="523" t="s">
        <v>686</v>
      </c>
      <c r="G69" s="497">
        <f t="shared" si="12"/>
        <v>86500</v>
      </c>
      <c r="H69" s="498">
        <f t="shared" si="12"/>
        <v>83500</v>
      </c>
      <c r="I69" s="499">
        <f t="shared" si="12"/>
        <v>85500</v>
      </c>
      <c r="J69" s="500"/>
      <c r="K69" s="501"/>
      <c r="L69" s="502"/>
      <c r="M69" s="503">
        <v>1500</v>
      </c>
      <c r="N69" s="501">
        <v>1500</v>
      </c>
      <c r="O69" s="504">
        <v>1500</v>
      </c>
      <c r="P69" s="500">
        <v>5000</v>
      </c>
      <c r="Q69" s="501">
        <v>5000</v>
      </c>
      <c r="R69" s="502">
        <v>5000</v>
      </c>
      <c r="S69" s="503"/>
      <c r="T69" s="501"/>
      <c r="U69" s="504"/>
      <c r="V69" s="500"/>
      <c r="W69" s="501"/>
      <c r="X69" s="502"/>
      <c r="Y69" s="505">
        <f t="shared" si="13"/>
        <v>6500</v>
      </c>
      <c r="Z69" s="506">
        <f t="shared" si="13"/>
        <v>6500</v>
      </c>
      <c r="AA69" s="507">
        <f t="shared" si="13"/>
        <v>6500</v>
      </c>
      <c r="AB69" s="500">
        <v>10000</v>
      </c>
      <c r="AC69" s="501">
        <v>10000</v>
      </c>
      <c r="AD69" s="502">
        <v>10000</v>
      </c>
      <c r="AE69" s="503">
        <v>5000</v>
      </c>
      <c r="AF69" s="501">
        <v>5000</v>
      </c>
      <c r="AG69" s="504">
        <v>5000</v>
      </c>
      <c r="AH69" s="500">
        <v>32000</v>
      </c>
      <c r="AI69" s="501">
        <v>30000</v>
      </c>
      <c r="AJ69" s="502">
        <v>30000</v>
      </c>
      <c r="AK69" s="503"/>
      <c r="AL69" s="501"/>
      <c r="AM69" s="504"/>
      <c r="AN69" s="500"/>
      <c r="AO69" s="501"/>
      <c r="AP69" s="502"/>
      <c r="AQ69" s="503">
        <v>10000</v>
      </c>
      <c r="AR69" s="501">
        <v>11000</v>
      </c>
      <c r="AS69" s="504">
        <v>12000</v>
      </c>
      <c r="AT69" s="500"/>
      <c r="AU69" s="501"/>
      <c r="AV69" s="502"/>
      <c r="AW69" s="503"/>
      <c r="AX69" s="501"/>
      <c r="AY69" s="504"/>
      <c r="AZ69" s="500"/>
      <c r="BA69" s="501"/>
      <c r="BB69" s="502"/>
      <c r="BC69" s="503"/>
      <c r="BD69" s="501"/>
      <c r="BE69" s="504"/>
      <c r="BF69" s="500">
        <v>8000</v>
      </c>
      <c r="BG69" s="501">
        <v>8000</v>
      </c>
      <c r="BH69" s="502">
        <v>8000</v>
      </c>
      <c r="BI69" s="503">
        <v>3000</v>
      </c>
      <c r="BJ69" s="501">
        <v>1000</v>
      </c>
      <c r="BK69" s="504">
        <v>2000</v>
      </c>
      <c r="BL69" s="500"/>
      <c r="BM69" s="501"/>
      <c r="BN69" s="502"/>
      <c r="BO69" s="503"/>
      <c r="BP69" s="501"/>
      <c r="BQ69" s="504"/>
      <c r="BR69" s="513">
        <f t="shared" si="14"/>
        <v>74500</v>
      </c>
      <c r="BS69" s="514">
        <f t="shared" si="14"/>
        <v>71500</v>
      </c>
      <c r="BT69" s="515">
        <f t="shared" si="14"/>
        <v>73500</v>
      </c>
      <c r="BU69" s="503">
        <v>12000</v>
      </c>
      <c r="BV69" s="501">
        <v>12000</v>
      </c>
      <c r="BW69" s="504">
        <v>12000</v>
      </c>
    </row>
    <row r="70" spans="1:75" ht="36">
      <c r="A70" s="519" t="s">
        <v>49</v>
      </c>
      <c r="B70" s="520">
        <v>31</v>
      </c>
      <c r="C70" s="520" t="s">
        <v>22</v>
      </c>
      <c r="D70" s="521">
        <v>3221</v>
      </c>
      <c r="E70" s="522" t="s">
        <v>65</v>
      </c>
      <c r="F70" s="523" t="s">
        <v>686</v>
      </c>
      <c r="G70" s="497">
        <f t="shared" si="12"/>
        <v>1359232</v>
      </c>
      <c r="H70" s="498">
        <f t="shared" si="12"/>
        <v>1371952</v>
      </c>
      <c r="I70" s="499">
        <f t="shared" si="12"/>
        <v>1378674</v>
      </c>
      <c r="J70" s="500"/>
      <c r="K70" s="501"/>
      <c r="L70" s="502"/>
      <c r="M70" s="503">
        <v>40000</v>
      </c>
      <c r="N70" s="501">
        <v>40500</v>
      </c>
      <c r="O70" s="504">
        <v>41000</v>
      </c>
      <c r="P70" s="500">
        <v>2000</v>
      </c>
      <c r="Q70" s="501">
        <v>2000</v>
      </c>
      <c r="R70" s="502">
        <v>2000</v>
      </c>
      <c r="S70" s="503"/>
      <c r="T70" s="501"/>
      <c r="U70" s="504"/>
      <c r="V70" s="500"/>
      <c r="W70" s="501"/>
      <c r="X70" s="502"/>
      <c r="Y70" s="505">
        <f t="shared" si="13"/>
        <v>42000</v>
      </c>
      <c r="Z70" s="506">
        <f t="shared" si="13"/>
        <v>42500</v>
      </c>
      <c r="AA70" s="507">
        <f t="shared" si="13"/>
        <v>43000</v>
      </c>
      <c r="AB70" s="500">
        <v>30000</v>
      </c>
      <c r="AC70" s="501">
        <v>30000</v>
      </c>
      <c r="AD70" s="502">
        <v>30000</v>
      </c>
      <c r="AE70" s="503">
        <v>5000</v>
      </c>
      <c r="AF70" s="501">
        <v>5000</v>
      </c>
      <c r="AG70" s="504">
        <v>5000</v>
      </c>
      <c r="AH70" s="500">
        <v>39000</v>
      </c>
      <c r="AI70" s="501">
        <v>35000</v>
      </c>
      <c r="AJ70" s="502">
        <v>35000</v>
      </c>
      <c r="AK70" s="503"/>
      <c r="AL70" s="501"/>
      <c r="AM70" s="504"/>
      <c r="AN70" s="500"/>
      <c r="AO70" s="501"/>
      <c r="AP70" s="502"/>
      <c r="AQ70" s="503">
        <v>10000</v>
      </c>
      <c r="AR70" s="501">
        <v>11000</v>
      </c>
      <c r="AS70" s="504">
        <v>12000</v>
      </c>
      <c r="AT70" s="500">
        <v>22000</v>
      </c>
      <c r="AU70" s="501">
        <v>22220</v>
      </c>
      <c r="AV70" s="502">
        <v>22442</v>
      </c>
      <c r="AW70" s="503">
        <v>15000</v>
      </c>
      <c r="AX70" s="501">
        <v>15000</v>
      </c>
      <c r="AY70" s="504">
        <v>15000</v>
      </c>
      <c r="AZ70" s="500"/>
      <c r="BA70" s="501"/>
      <c r="BB70" s="502"/>
      <c r="BC70" s="503"/>
      <c r="BD70" s="501"/>
      <c r="BE70" s="504"/>
      <c r="BF70" s="500">
        <v>120000</v>
      </c>
      <c r="BG70" s="501">
        <v>135000</v>
      </c>
      <c r="BH70" s="502">
        <v>140000</v>
      </c>
      <c r="BI70" s="503">
        <v>1000</v>
      </c>
      <c r="BJ70" s="501">
        <v>1000</v>
      </c>
      <c r="BK70" s="504">
        <v>1000</v>
      </c>
      <c r="BL70" s="500">
        <v>70000</v>
      </c>
      <c r="BM70" s="501">
        <v>70000</v>
      </c>
      <c r="BN70" s="502">
        <v>70000</v>
      </c>
      <c r="BO70" s="503"/>
      <c r="BP70" s="501"/>
      <c r="BQ70" s="504"/>
      <c r="BR70" s="513">
        <f t="shared" si="14"/>
        <v>354000</v>
      </c>
      <c r="BS70" s="514">
        <f t="shared" si="14"/>
        <v>366720</v>
      </c>
      <c r="BT70" s="515">
        <f t="shared" si="14"/>
        <v>373442</v>
      </c>
      <c r="BU70" s="503">
        <v>1005232</v>
      </c>
      <c r="BV70" s="501">
        <v>1005232</v>
      </c>
      <c r="BW70" s="504">
        <v>1005232</v>
      </c>
    </row>
    <row r="71" spans="1:75" ht="24">
      <c r="A71" s="519" t="s">
        <v>49</v>
      </c>
      <c r="B71" s="520">
        <v>31</v>
      </c>
      <c r="C71" s="520" t="s">
        <v>22</v>
      </c>
      <c r="D71" s="521">
        <v>3222</v>
      </c>
      <c r="E71" s="522" t="s">
        <v>76</v>
      </c>
      <c r="F71" s="523" t="s">
        <v>686</v>
      </c>
      <c r="G71" s="497">
        <f t="shared" si="12"/>
        <v>10479580</v>
      </c>
      <c r="H71" s="498">
        <f t="shared" si="12"/>
        <v>10535180</v>
      </c>
      <c r="I71" s="499">
        <f t="shared" si="12"/>
        <v>10535180</v>
      </c>
      <c r="J71" s="500"/>
      <c r="K71" s="501"/>
      <c r="L71" s="502"/>
      <c r="M71" s="503"/>
      <c r="N71" s="501"/>
      <c r="O71" s="504"/>
      <c r="P71" s="500"/>
      <c r="Q71" s="501"/>
      <c r="R71" s="502"/>
      <c r="S71" s="503"/>
      <c r="T71" s="501"/>
      <c r="U71" s="504"/>
      <c r="V71" s="500"/>
      <c r="W71" s="501"/>
      <c r="X71" s="502"/>
      <c r="Y71" s="505">
        <f t="shared" si="13"/>
        <v>0</v>
      </c>
      <c r="Z71" s="506">
        <f t="shared" si="13"/>
        <v>0</v>
      </c>
      <c r="AA71" s="507">
        <f t="shared" si="13"/>
        <v>0</v>
      </c>
      <c r="AB71" s="500"/>
      <c r="AC71" s="501"/>
      <c r="AD71" s="502"/>
      <c r="AE71" s="503"/>
      <c r="AF71" s="501"/>
      <c r="AG71" s="504"/>
      <c r="AH71" s="500">
        <v>234400</v>
      </c>
      <c r="AI71" s="501">
        <v>290000</v>
      </c>
      <c r="AJ71" s="502">
        <v>290000</v>
      </c>
      <c r="AK71" s="503"/>
      <c r="AL71" s="501"/>
      <c r="AM71" s="504"/>
      <c r="AN71" s="500"/>
      <c r="AO71" s="501"/>
      <c r="AP71" s="502"/>
      <c r="AQ71" s="503"/>
      <c r="AR71" s="501"/>
      <c r="AS71" s="504"/>
      <c r="AT71" s="500"/>
      <c r="AU71" s="501"/>
      <c r="AV71" s="502"/>
      <c r="AW71" s="503"/>
      <c r="AX71" s="501"/>
      <c r="AY71" s="504"/>
      <c r="AZ71" s="500"/>
      <c r="BA71" s="501"/>
      <c r="BB71" s="502"/>
      <c r="BC71" s="503"/>
      <c r="BD71" s="501"/>
      <c r="BE71" s="504"/>
      <c r="BF71" s="500"/>
      <c r="BG71" s="501"/>
      <c r="BH71" s="502"/>
      <c r="BI71" s="503"/>
      <c r="BJ71" s="501"/>
      <c r="BK71" s="504"/>
      <c r="BL71" s="500">
        <v>13000</v>
      </c>
      <c r="BM71" s="501">
        <v>13000</v>
      </c>
      <c r="BN71" s="502">
        <v>13000</v>
      </c>
      <c r="BO71" s="503"/>
      <c r="BP71" s="501"/>
      <c r="BQ71" s="504"/>
      <c r="BR71" s="513">
        <f t="shared" si="14"/>
        <v>247400</v>
      </c>
      <c r="BS71" s="514">
        <f t="shared" si="14"/>
        <v>303000</v>
      </c>
      <c r="BT71" s="515">
        <f t="shared" si="14"/>
        <v>303000</v>
      </c>
      <c r="BU71" s="503">
        <v>10232180</v>
      </c>
      <c r="BV71" s="501">
        <v>10232180</v>
      </c>
      <c r="BW71" s="504">
        <v>10232180</v>
      </c>
    </row>
    <row r="72" spans="1:75" ht="24">
      <c r="A72" s="519" t="s">
        <v>49</v>
      </c>
      <c r="B72" s="520">
        <v>31</v>
      </c>
      <c r="C72" s="520" t="s">
        <v>22</v>
      </c>
      <c r="D72" s="521">
        <v>3223</v>
      </c>
      <c r="E72" s="522" t="s">
        <v>77</v>
      </c>
      <c r="F72" s="523" t="s">
        <v>686</v>
      </c>
      <c r="G72" s="497">
        <f t="shared" si="12"/>
        <v>2932880</v>
      </c>
      <c r="H72" s="498">
        <f t="shared" si="12"/>
        <v>2903010</v>
      </c>
      <c r="I72" s="499">
        <f t="shared" si="12"/>
        <v>2903180</v>
      </c>
      <c r="J72" s="500"/>
      <c r="K72" s="501"/>
      <c r="L72" s="502"/>
      <c r="M72" s="503">
        <v>13000</v>
      </c>
      <c r="N72" s="501">
        <v>13130</v>
      </c>
      <c r="O72" s="504">
        <v>13300</v>
      </c>
      <c r="P72" s="500"/>
      <c r="Q72" s="501"/>
      <c r="R72" s="502"/>
      <c r="S72" s="503"/>
      <c r="T72" s="501"/>
      <c r="U72" s="504"/>
      <c r="V72" s="500"/>
      <c r="W72" s="501"/>
      <c r="X72" s="502"/>
      <c r="Y72" s="505">
        <f t="shared" si="13"/>
        <v>13000</v>
      </c>
      <c r="Z72" s="506">
        <f t="shared" si="13"/>
        <v>13130</v>
      </c>
      <c r="AA72" s="507">
        <f t="shared" si="13"/>
        <v>13300</v>
      </c>
      <c r="AB72" s="500">
        <v>50000</v>
      </c>
      <c r="AC72" s="501">
        <v>50000</v>
      </c>
      <c r="AD72" s="502">
        <v>50000</v>
      </c>
      <c r="AE72" s="503"/>
      <c r="AF72" s="501"/>
      <c r="AG72" s="504"/>
      <c r="AH72" s="500">
        <v>150000</v>
      </c>
      <c r="AI72" s="501">
        <v>120000</v>
      </c>
      <c r="AJ72" s="502">
        <v>120000</v>
      </c>
      <c r="AK72" s="503"/>
      <c r="AL72" s="501"/>
      <c r="AM72" s="504"/>
      <c r="AN72" s="500"/>
      <c r="AO72" s="501"/>
      <c r="AP72" s="502"/>
      <c r="AQ72" s="503"/>
      <c r="AR72" s="501"/>
      <c r="AS72" s="504"/>
      <c r="AT72" s="500"/>
      <c r="AU72" s="501"/>
      <c r="AV72" s="502"/>
      <c r="AW72" s="503"/>
      <c r="AX72" s="501"/>
      <c r="AY72" s="504"/>
      <c r="AZ72" s="500">
        <v>1000</v>
      </c>
      <c r="BA72" s="501">
        <v>1000</v>
      </c>
      <c r="BB72" s="502">
        <v>1000</v>
      </c>
      <c r="BC72" s="503"/>
      <c r="BD72" s="501"/>
      <c r="BE72" s="504"/>
      <c r="BF72" s="500">
        <v>10000</v>
      </c>
      <c r="BG72" s="501">
        <v>10000</v>
      </c>
      <c r="BH72" s="502">
        <v>10000</v>
      </c>
      <c r="BI72" s="503"/>
      <c r="BJ72" s="501"/>
      <c r="BK72" s="504"/>
      <c r="BL72" s="500"/>
      <c r="BM72" s="501"/>
      <c r="BN72" s="502"/>
      <c r="BO72" s="503"/>
      <c r="BP72" s="501"/>
      <c r="BQ72" s="504"/>
      <c r="BR72" s="513">
        <f t="shared" si="14"/>
        <v>224000</v>
      </c>
      <c r="BS72" s="514">
        <f t="shared" si="14"/>
        <v>194130</v>
      </c>
      <c r="BT72" s="515">
        <f t="shared" si="14"/>
        <v>194300</v>
      </c>
      <c r="BU72" s="503">
        <v>2708880</v>
      </c>
      <c r="BV72" s="501">
        <v>2708880</v>
      </c>
      <c r="BW72" s="504">
        <v>2708880</v>
      </c>
    </row>
    <row r="73" spans="1:75" ht="36">
      <c r="A73" s="519" t="s">
        <v>49</v>
      </c>
      <c r="B73" s="520">
        <v>31</v>
      </c>
      <c r="C73" s="520" t="s">
        <v>22</v>
      </c>
      <c r="D73" s="521">
        <v>3224</v>
      </c>
      <c r="E73" s="522" t="s">
        <v>61</v>
      </c>
      <c r="F73" s="523" t="s">
        <v>686</v>
      </c>
      <c r="G73" s="497">
        <f t="shared" si="12"/>
        <v>90250</v>
      </c>
      <c r="H73" s="498">
        <f t="shared" si="12"/>
        <v>90363</v>
      </c>
      <c r="I73" s="499">
        <f t="shared" si="12"/>
        <v>90475</v>
      </c>
      <c r="J73" s="500"/>
      <c r="K73" s="501"/>
      <c r="L73" s="502"/>
      <c r="M73" s="503">
        <v>8000</v>
      </c>
      <c r="N73" s="501">
        <v>8100</v>
      </c>
      <c r="O73" s="504">
        <v>8200</v>
      </c>
      <c r="P73" s="500"/>
      <c r="Q73" s="501"/>
      <c r="R73" s="502"/>
      <c r="S73" s="503"/>
      <c r="T73" s="501"/>
      <c r="U73" s="504"/>
      <c r="V73" s="500"/>
      <c r="W73" s="501"/>
      <c r="X73" s="502"/>
      <c r="Y73" s="505">
        <f t="shared" si="13"/>
        <v>8000</v>
      </c>
      <c r="Z73" s="506">
        <f t="shared" si="13"/>
        <v>8100</v>
      </c>
      <c r="AA73" s="507">
        <f t="shared" si="13"/>
        <v>8200</v>
      </c>
      <c r="AB73" s="500"/>
      <c r="AC73" s="501"/>
      <c r="AD73" s="502"/>
      <c r="AE73" s="503">
        <v>10000</v>
      </c>
      <c r="AF73" s="501">
        <v>10000</v>
      </c>
      <c r="AG73" s="504">
        <v>10000</v>
      </c>
      <c r="AH73" s="500">
        <v>25000</v>
      </c>
      <c r="AI73" s="501">
        <v>25000</v>
      </c>
      <c r="AJ73" s="502">
        <v>25000</v>
      </c>
      <c r="AK73" s="503"/>
      <c r="AL73" s="501"/>
      <c r="AM73" s="504"/>
      <c r="AN73" s="500">
        <v>5000</v>
      </c>
      <c r="AO73" s="501">
        <v>5000</v>
      </c>
      <c r="AP73" s="502">
        <v>5000</v>
      </c>
      <c r="AQ73" s="503"/>
      <c r="AR73" s="501"/>
      <c r="AS73" s="504"/>
      <c r="AT73" s="500">
        <v>1250</v>
      </c>
      <c r="AU73" s="501">
        <v>1263</v>
      </c>
      <c r="AV73" s="502">
        <v>1275</v>
      </c>
      <c r="AW73" s="503">
        <v>6000</v>
      </c>
      <c r="AX73" s="501">
        <v>6000</v>
      </c>
      <c r="AY73" s="504">
        <v>6000</v>
      </c>
      <c r="AZ73" s="500"/>
      <c r="BA73" s="501"/>
      <c r="BB73" s="502"/>
      <c r="BC73" s="503"/>
      <c r="BD73" s="501"/>
      <c r="BE73" s="504"/>
      <c r="BF73" s="500">
        <v>35000</v>
      </c>
      <c r="BG73" s="501">
        <v>35000</v>
      </c>
      <c r="BH73" s="502">
        <v>35000</v>
      </c>
      <c r="BI73" s="503"/>
      <c r="BJ73" s="501"/>
      <c r="BK73" s="504"/>
      <c r="BL73" s="500"/>
      <c r="BM73" s="501"/>
      <c r="BN73" s="502"/>
      <c r="BO73" s="503"/>
      <c r="BP73" s="501"/>
      <c r="BQ73" s="504"/>
      <c r="BR73" s="513">
        <f t="shared" si="14"/>
        <v>90250</v>
      </c>
      <c r="BS73" s="514">
        <f t="shared" si="14"/>
        <v>90363</v>
      </c>
      <c r="BT73" s="515">
        <f t="shared" si="14"/>
        <v>90475</v>
      </c>
      <c r="BU73" s="503"/>
      <c r="BV73" s="501"/>
      <c r="BW73" s="504"/>
    </row>
    <row r="74" spans="1:75" ht="24">
      <c r="A74" s="519" t="s">
        <v>49</v>
      </c>
      <c r="B74" s="520">
        <v>31</v>
      </c>
      <c r="C74" s="520" t="s">
        <v>22</v>
      </c>
      <c r="D74" s="521">
        <v>3225</v>
      </c>
      <c r="E74" s="522" t="s">
        <v>78</v>
      </c>
      <c r="F74" s="523" t="s">
        <v>686</v>
      </c>
      <c r="G74" s="497">
        <f t="shared" si="12"/>
        <v>162000</v>
      </c>
      <c r="H74" s="498">
        <f t="shared" si="12"/>
        <v>166600</v>
      </c>
      <c r="I74" s="499">
        <f t="shared" si="12"/>
        <v>166700</v>
      </c>
      <c r="J74" s="500"/>
      <c r="K74" s="501"/>
      <c r="L74" s="502"/>
      <c r="M74" s="503">
        <v>3000</v>
      </c>
      <c r="N74" s="501">
        <v>3100</v>
      </c>
      <c r="O74" s="504">
        <v>3200</v>
      </c>
      <c r="P74" s="500"/>
      <c r="Q74" s="501"/>
      <c r="R74" s="502"/>
      <c r="S74" s="503"/>
      <c r="T74" s="501"/>
      <c r="U74" s="504"/>
      <c r="V74" s="500"/>
      <c r="W74" s="501"/>
      <c r="X74" s="502"/>
      <c r="Y74" s="505">
        <f t="shared" si="13"/>
        <v>3000</v>
      </c>
      <c r="Z74" s="506">
        <f t="shared" si="13"/>
        <v>3100</v>
      </c>
      <c r="AA74" s="507">
        <f t="shared" si="13"/>
        <v>3200</v>
      </c>
      <c r="AB74" s="500"/>
      <c r="AC74" s="501"/>
      <c r="AD74" s="502"/>
      <c r="AE74" s="503"/>
      <c r="AF74" s="501"/>
      <c r="AG74" s="504"/>
      <c r="AH74" s="500">
        <v>20000</v>
      </c>
      <c r="AI74" s="501">
        <v>25000</v>
      </c>
      <c r="AJ74" s="502">
        <v>25000</v>
      </c>
      <c r="AK74" s="503"/>
      <c r="AL74" s="501"/>
      <c r="AM74" s="504"/>
      <c r="AN74" s="500"/>
      <c r="AO74" s="501"/>
      <c r="AP74" s="502"/>
      <c r="AQ74" s="503">
        <v>10000</v>
      </c>
      <c r="AR74" s="501">
        <v>10000</v>
      </c>
      <c r="AS74" s="504">
        <v>10000</v>
      </c>
      <c r="AT74" s="500"/>
      <c r="AU74" s="501"/>
      <c r="AV74" s="502"/>
      <c r="AW74" s="503">
        <v>2000</v>
      </c>
      <c r="AX74" s="501">
        <v>1500</v>
      </c>
      <c r="AY74" s="504">
        <v>1500</v>
      </c>
      <c r="AZ74" s="500"/>
      <c r="BA74" s="501"/>
      <c r="BB74" s="502"/>
      <c r="BC74" s="503"/>
      <c r="BD74" s="501"/>
      <c r="BE74" s="504"/>
      <c r="BF74" s="500">
        <v>15000</v>
      </c>
      <c r="BG74" s="501">
        <v>15000</v>
      </c>
      <c r="BH74" s="502">
        <v>15000</v>
      </c>
      <c r="BI74" s="503"/>
      <c r="BJ74" s="501"/>
      <c r="BK74" s="504"/>
      <c r="BL74" s="500">
        <v>25000</v>
      </c>
      <c r="BM74" s="501">
        <v>25000</v>
      </c>
      <c r="BN74" s="502">
        <v>25000</v>
      </c>
      <c r="BO74" s="503"/>
      <c r="BP74" s="501"/>
      <c r="BQ74" s="504"/>
      <c r="BR74" s="513">
        <f t="shared" si="14"/>
        <v>75000</v>
      </c>
      <c r="BS74" s="514">
        <f t="shared" si="14"/>
        <v>79600</v>
      </c>
      <c r="BT74" s="515">
        <f t="shared" si="14"/>
        <v>79700</v>
      </c>
      <c r="BU74" s="503">
        <v>87000</v>
      </c>
      <c r="BV74" s="501">
        <v>87000</v>
      </c>
      <c r="BW74" s="504">
        <v>87000</v>
      </c>
    </row>
    <row r="75" spans="1:75" ht="36">
      <c r="A75" s="519" t="s">
        <v>49</v>
      </c>
      <c r="B75" s="520">
        <v>31</v>
      </c>
      <c r="C75" s="520" t="s">
        <v>22</v>
      </c>
      <c r="D75" s="521">
        <v>3227</v>
      </c>
      <c r="E75" s="522" t="s">
        <v>89</v>
      </c>
      <c r="F75" s="523" t="s">
        <v>686</v>
      </c>
      <c r="G75" s="497">
        <f t="shared" si="12"/>
        <v>16000</v>
      </c>
      <c r="H75" s="498">
        <f t="shared" si="12"/>
        <v>14100</v>
      </c>
      <c r="I75" s="499">
        <f t="shared" si="12"/>
        <v>14200</v>
      </c>
      <c r="J75" s="500"/>
      <c r="K75" s="501"/>
      <c r="L75" s="502"/>
      <c r="M75" s="503">
        <v>3000</v>
      </c>
      <c r="N75" s="501">
        <v>3100</v>
      </c>
      <c r="O75" s="504">
        <v>3200</v>
      </c>
      <c r="P75" s="500"/>
      <c r="Q75" s="501"/>
      <c r="R75" s="502"/>
      <c r="S75" s="503"/>
      <c r="T75" s="501"/>
      <c r="U75" s="504"/>
      <c r="V75" s="500"/>
      <c r="W75" s="501"/>
      <c r="X75" s="502"/>
      <c r="Y75" s="505">
        <f t="shared" si="13"/>
        <v>3000</v>
      </c>
      <c r="Z75" s="506">
        <f t="shared" si="13"/>
        <v>3100</v>
      </c>
      <c r="AA75" s="507">
        <f t="shared" si="13"/>
        <v>3200</v>
      </c>
      <c r="AB75" s="500"/>
      <c r="AC75" s="501"/>
      <c r="AD75" s="502"/>
      <c r="AE75" s="503"/>
      <c r="AF75" s="501"/>
      <c r="AG75" s="504"/>
      <c r="AH75" s="500">
        <v>10000</v>
      </c>
      <c r="AI75" s="501">
        <v>8000</v>
      </c>
      <c r="AJ75" s="502">
        <v>8000</v>
      </c>
      <c r="AK75" s="503"/>
      <c r="AL75" s="501"/>
      <c r="AM75" s="504"/>
      <c r="AN75" s="500"/>
      <c r="AO75" s="501"/>
      <c r="AP75" s="502"/>
      <c r="AQ75" s="503"/>
      <c r="AR75" s="501"/>
      <c r="AS75" s="504"/>
      <c r="AT75" s="500"/>
      <c r="AU75" s="501"/>
      <c r="AV75" s="502"/>
      <c r="AW75" s="503"/>
      <c r="AX75" s="501"/>
      <c r="AY75" s="504"/>
      <c r="AZ75" s="500"/>
      <c r="BA75" s="501"/>
      <c r="BB75" s="502"/>
      <c r="BC75" s="503"/>
      <c r="BD75" s="501"/>
      <c r="BE75" s="504"/>
      <c r="BF75" s="500"/>
      <c r="BG75" s="501"/>
      <c r="BH75" s="502"/>
      <c r="BI75" s="503"/>
      <c r="BJ75" s="501"/>
      <c r="BK75" s="504"/>
      <c r="BL75" s="500">
        <v>3000</v>
      </c>
      <c r="BM75" s="501">
        <v>3000</v>
      </c>
      <c r="BN75" s="502">
        <v>3000</v>
      </c>
      <c r="BO75" s="503"/>
      <c r="BP75" s="501"/>
      <c r="BQ75" s="504"/>
      <c r="BR75" s="513">
        <f t="shared" si="14"/>
        <v>16000</v>
      </c>
      <c r="BS75" s="514">
        <f t="shared" si="14"/>
        <v>14100</v>
      </c>
      <c r="BT75" s="515">
        <f t="shared" si="14"/>
        <v>14200</v>
      </c>
      <c r="BU75" s="503"/>
      <c r="BV75" s="501"/>
      <c r="BW75" s="504"/>
    </row>
    <row r="76" spans="1:75" ht="24">
      <c r="A76" s="519" t="s">
        <v>49</v>
      </c>
      <c r="B76" s="520">
        <v>31</v>
      </c>
      <c r="C76" s="520" t="s">
        <v>22</v>
      </c>
      <c r="D76" s="521">
        <v>3231</v>
      </c>
      <c r="E76" s="522" t="s">
        <v>79</v>
      </c>
      <c r="F76" s="523" t="s">
        <v>686</v>
      </c>
      <c r="G76" s="497">
        <f t="shared" si="12"/>
        <v>228850</v>
      </c>
      <c r="H76" s="498">
        <f t="shared" si="12"/>
        <v>240556</v>
      </c>
      <c r="I76" s="499">
        <f t="shared" si="12"/>
        <v>230561</v>
      </c>
      <c r="J76" s="500"/>
      <c r="K76" s="501"/>
      <c r="L76" s="502"/>
      <c r="M76" s="503"/>
      <c r="N76" s="501"/>
      <c r="O76" s="504"/>
      <c r="P76" s="500"/>
      <c r="Q76" s="501"/>
      <c r="R76" s="502"/>
      <c r="S76" s="503"/>
      <c r="T76" s="501"/>
      <c r="U76" s="504"/>
      <c r="V76" s="500"/>
      <c r="W76" s="501"/>
      <c r="X76" s="502"/>
      <c r="Y76" s="505">
        <f t="shared" si="13"/>
        <v>0</v>
      </c>
      <c r="Z76" s="506">
        <f t="shared" si="13"/>
        <v>0</v>
      </c>
      <c r="AA76" s="507">
        <f t="shared" si="13"/>
        <v>0</v>
      </c>
      <c r="AB76" s="500"/>
      <c r="AC76" s="501"/>
      <c r="AD76" s="502"/>
      <c r="AE76" s="503">
        <v>10000</v>
      </c>
      <c r="AF76" s="501">
        <v>10000</v>
      </c>
      <c r="AG76" s="504">
        <v>10000</v>
      </c>
      <c r="AH76" s="500">
        <v>33300</v>
      </c>
      <c r="AI76" s="501">
        <v>35000</v>
      </c>
      <c r="AJ76" s="502">
        <v>35000</v>
      </c>
      <c r="AK76" s="503"/>
      <c r="AL76" s="501"/>
      <c r="AM76" s="504"/>
      <c r="AN76" s="500"/>
      <c r="AO76" s="501"/>
      <c r="AP76" s="502"/>
      <c r="AQ76" s="503"/>
      <c r="AR76" s="501"/>
      <c r="AS76" s="504"/>
      <c r="AT76" s="500">
        <v>550</v>
      </c>
      <c r="AU76" s="501">
        <v>556</v>
      </c>
      <c r="AV76" s="502">
        <v>561</v>
      </c>
      <c r="AW76" s="503"/>
      <c r="AX76" s="501"/>
      <c r="AY76" s="504"/>
      <c r="AZ76" s="500"/>
      <c r="BA76" s="501"/>
      <c r="BB76" s="502"/>
      <c r="BC76" s="503"/>
      <c r="BD76" s="501"/>
      <c r="BE76" s="504"/>
      <c r="BF76" s="500">
        <v>35000</v>
      </c>
      <c r="BG76" s="501">
        <v>45000</v>
      </c>
      <c r="BH76" s="502">
        <v>35000</v>
      </c>
      <c r="BI76" s="503"/>
      <c r="BJ76" s="501"/>
      <c r="BK76" s="504"/>
      <c r="BL76" s="500"/>
      <c r="BM76" s="501"/>
      <c r="BN76" s="502"/>
      <c r="BO76" s="503"/>
      <c r="BP76" s="501"/>
      <c r="BQ76" s="504"/>
      <c r="BR76" s="513">
        <f t="shared" si="14"/>
        <v>78850</v>
      </c>
      <c r="BS76" s="514">
        <f t="shared" si="14"/>
        <v>90556</v>
      </c>
      <c r="BT76" s="515">
        <f t="shared" si="14"/>
        <v>80561</v>
      </c>
      <c r="BU76" s="503">
        <v>150000</v>
      </c>
      <c r="BV76" s="501">
        <v>150000</v>
      </c>
      <c r="BW76" s="504">
        <v>150000</v>
      </c>
    </row>
    <row r="77" spans="1:75" ht="36">
      <c r="A77" s="519" t="s">
        <v>49</v>
      </c>
      <c r="B77" s="520">
        <v>31</v>
      </c>
      <c r="C77" s="520" t="s">
        <v>22</v>
      </c>
      <c r="D77" s="521">
        <v>3232</v>
      </c>
      <c r="E77" s="522" t="s">
        <v>80</v>
      </c>
      <c r="F77" s="523" t="s">
        <v>686</v>
      </c>
      <c r="G77" s="497">
        <f t="shared" si="12"/>
        <v>1544625</v>
      </c>
      <c r="H77" s="498">
        <f t="shared" si="12"/>
        <v>1555675</v>
      </c>
      <c r="I77" s="499">
        <f t="shared" si="12"/>
        <v>1556725</v>
      </c>
      <c r="J77" s="500"/>
      <c r="K77" s="501"/>
      <c r="L77" s="502"/>
      <c r="M77" s="503">
        <v>2000</v>
      </c>
      <c r="N77" s="501">
        <v>2050</v>
      </c>
      <c r="O77" s="504">
        <v>2100</v>
      </c>
      <c r="P77" s="500"/>
      <c r="Q77" s="501"/>
      <c r="R77" s="502"/>
      <c r="S77" s="503"/>
      <c r="T77" s="501"/>
      <c r="U77" s="504"/>
      <c r="V77" s="500"/>
      <c r="W77" s="501"/>
      <c r="X77" s="502"/>
      <c r="Y77" s="505">
        <f t="shared" si="13"/>
        <v>2000</v>
      </c>
      <c r="Z77" s="506">
        <f t="shared" si="13"/>
        <v>2050</v>
      </c>
      <c r="AA77" s="507">
        <f t="shared" si="13"/>
        <v>2100</v>
      </c>
      <c r="AB77" s="500"/>
      <c r="AC77" s="501"/>
      <c r="AD77" s="502"/>
      <c r="AE77" s="503"/>
      <c r="AF77" s="501"/>
      <c r="AG77" s="504"/>
      <c r="AH77" s="500">
        <v>25000</v>
      </c>
      <c r="AI77" s="501">
        <v>35000</v>
      </c>
      <c r="AJ77" s="502">
        <v>35000</v>
      </c>
      <c r="AK77" s="503"/>
      <c r="AL77" s="501"/>
      <c r="AM77" s="504"/>
      <c r="AN77" s="500">
        <v>55000</v>
      </c>
      <c r="AO77" s="501">
        <v>55000</v>
      </c>
      <c r="AP77" s="502">
        <v>55000</v>
      </c>
      <c r="AQ77" s="503">
        <v>55000</v>
      </c>
      <c r="AR77" s="501">
        <v>56000</v>
      </c>
      <c r="AS77" s="504">
        <v>57000</v>
      </c>
      <c r="AT77" s="500"/>
      <c r="AU77" s="501"/>
      <c r="AV77" s="502"/>
      <c r="AW77" s="503"/>
      <c r="AX77" s="501"/>
      <c r="AY77" s="504"/>
      <c r="AZ77" s="500"/>
      <c r="BA77" s="501"/>
      <c r="BB77" s="502"/>
      <c r="BC77" s="503"/>
      <c r="BD77" s="501"/>
      <c r="BE77" s="504"/>
      <c r="BF77" s="500">
        <v>18000</v>
      </c>
      <c r="BG77" s="501">
        <v>18000</v>
      </c>
      <c r="BH77" s="502">
        <v>18000</v>
      </c>
      <c r="BI77" s="503"/>
      <c r="BJ77" s="501"/>
      <c r="BK77" s="504"/>
      <c r="BL77" s="500"/>
      <c r="BM77" s="501"/>
      <c r="BN77" s="502"/>
      <c r="BO77" s="503"/>
      <c r="BP77" s="501"/>
      <c r="BQ77" s="504"/>
      <c r="BR77" s="513">
        <f t="shared" si="14"/>
        <v>155000</v>
      </c>
      <c r="BS77" s="514">
        <f t="shared" si="14"/>
        <v>166050</v>
      </c>
      <c r="BT77" s="515">
        <f t="shared" si="14"/>
        <v>167100</v>
      </c>
      <c r="BU77" s="503">
        <v>1389625</v>
      </c>
      <c r="BV77" s="501">
        <v>1389625</v>
      </c>
      <c r="BW77" s="504">
        <v>1389625</v>
      </c>
    </row>
    <row r="78" spans="1:75" ht="24">
      <c r="A78" s="519" t="s">
        <v>49</v>
      </c>
      <c r="B78" s="520">
        <v>31</v>
      </c>
      <c r="C78" s="520" t="s">
        <v>22</v>
      </c>
      <c r="D78" s="521">
        <v>3233</v>
      </c>
      <c r="E78" s="522" t="s">
        <v>81</v>
      </c>
      <c r="F78" s="523" t="s">
        <v>686</v>
      </c>
      <c r="G78" s="497">
        <f t="shared" si="12"/>
        <v>192950</v>
      </c>
      <c r="H78" s="498">
        <f t="shared" si="12"/>
        <v>197970</v>
      </c>
      <c r="I78" s="499">
        <f t="shared" si="12"/>
        <v>190989</v>
      </c>
      <c r="J78" s="500"/>
      <c r="K78" s="501"/>
      <c r="L78" s="502"/>
      <c r="M78" s="503"/>
      <c r="N78" s="501"/>
      <c r="O78" s="504"/>
      <c r="P78" s="500"/>
      <c r="Q78" s="501"/>
      <c r="R78" s="502"/>
      <c r="S78" s="503"/>
      <c r="T78" s="501"/>
      <c r="U78" s="504"/>
      <c r="V78" s="500"/>
      <c r="W78" s="501"/>
      <c r="X78" s="502"/>
      <c r="Y78" s="505">
        <f t="shared" si="13"/>
        <v>0</v>
      </c>
      <c r="Z78" s="506">
        <f t="shared" si="13"/>
        <v>0</v>
      </c>
      <c r="AA78" s="507">
        <f t="shared" si="13"/>
        <v>0</v>
      </c>
      <c r="AB78" s="500"/>
      <c r="AC78" s="501"/>
      <c r="AD78" s="502"/>
      <c r="AE78" s="503">
        <v>15000</v>
      </c>
      <c r="AF78" s="501">
        <v>15000</v>
      </c>
      <c r="AG78" s="504">
        <v>15000</v>
      </c>
      <c r="AH78" s="500">
        <v>11000</v>
      </c>
      <c r="AI78" s="501">
        <v>15000</v>
      </c>
      <c r="AJ78" s="502">
        <v>17000</v>
      </c>
      <c r="AK78" s="503"/>
      <c r="AL78" s="501"/>
      <c r="AM78" s="504"/>
      <c r="AN78" s="500"/>
      <c r="AO78" s="501"/>
      <c r="AP78" s="502"/>
      <c r="AQ78" s="503">
        <v>20000</v>
      </c>
      <c r="AR78" s="501">
        <v>21000</v>
      </c>
      <c r="AS78" s="504">
        <v>22000</v>
      </c>
      <c r="AT78" s="500">
        <v>1950</v>
      </c>
      <c r="AU78" s="501">
        <v>1970</v>
      </c>
      <c r="AV78" s="502">
        <v>1989</v>
      </c>
      <c r="AW78" s="503"/>
      <c r="AX78" s="501"/>
      <c r="AY78" s="504"/>
      <c r="AZ78" s="500"/>
      <c r="BA78" s="501"/>
      <c r="BB78" s="502"/>
      <c r="BC78" s="503"/>
      <c r="BD78" s="501"/>
      <c r="BE78" s="504"/>
      <c r="BF78" s="500">
        <v>70000</v>
      </c>
      <c r="BG78" s="501">
        <v>70000</v>
      </c>
      <c r="BH78" s="502">
        <v>70000</v>
      </c>
      <c r="BI78" s="503">
        <v>20000</v>
      </c>
      <c r="BJ78" s="501">
        <v>20000</v>
      </c>
      <c r="BK78" s="504">
        <v>10000</v>
      </c>
      <c r="BL78" s="500">
        <v>30000</v>
      </c>
      <c r="BM78" s="501">
        <v>30000</v>
      </c>
      <c r="BN78" s="502">
        <v>30000</v>
      </c>
      <c r="BO78" s="503"/>
      <c r="BP78" s="501"/>
      <c r="BQ78" s="504"/>
      <c r="BR78" s="513">
        <f t="shared" si="14"/>
        <v>167950</v>
      </c>
      <c r="BS78" s="514">
        <f t="shared" si="14"/>
        <v>172970</v>
      </c>
      <c r="BT78" s="515">
        <f t="shared" si="14"/>
        <v>165989</v>
      </c>
      <c r="BU78" s="503">
        <v>25000</v>
      </c>
      <c r="BV78" s="501">
        <v>25000</v>
      </c>
      <c r="BW78" s="504">
        <v>25000</v>
      </c>
    </row>
    <row r="79" spans="1:75" ht="24">
      <c r="A79" s="519" t="s">
        <v>49</v>
      </c>
      <c r="B79" s="520">
        <v>31</v>
      </c>
      <c r="C79" s="520" t="s">
        <v>22</v>
      </c>
      <c r="D79" s="521">
        <v>3234</v>
      </c>
      <c r="E79" s="522" t="s">
        <v>87</v>
      </c>
      <c r="F79" s="523" t="s">
        <v>686</v>
      </c>
      <c r="G79" s="497">
        <f t="shared" si="12"/>
        <v>1545300</v>
      </c>
      <c r="H79" s="498">
        <f t="shared" si="12"/>
        <v>1548300</v>
      </c>
      <c r="I79" s="499">
        <f t="shared" si="12"/>
        <v>1548300</v>
      </c>
      <c r="J79" s="500"/>
      <c r="K79" s="501"/>
      <c r="L79" s="502"/>
      <c r="M79" s="503"/>
      <c r="N79" s="501"/>
      <c r="O79" s="504"/>
      <c r="P79" s="500"/>
      <c r="Q79" s="501"/>
      <c r="R79" s="502"/>
      <c r="S79" s="503"/>
      <c r="T79" s="501"/>
      <c r="U79" s="504"/>
      <c r="V79" s="500"/>
      <c r="W79" s="501"/>
      <c r="X79" s="502"/>
      <c r="Y79" s="505">
        <f t="shared" si="13"/>
        <v>0</v>
      </c>
      <c r="Z79" s="506">
        <f t="shared" si="13"/>
        <v>0</v>
      </c>
      <c r="AA79" s="507">
        <f t="shared" si="13"/>
        <v>0</v>
      </c>
      <c r="AB79" s="500"/>
      <c r="AC79" s="501"/>
      <c r="AD79" s="502"/>
      <c r="AE79" s="503"/>
      <c r="AF79" s="501"/>
      <c r="AG79" s="504"/>
      <c r="AH79" s="500">
        <v>12000</v>
      </c>
      <c r="AI79" s="501">
        <v>15000</v>
      </c>
      <c r="AJ79" s="502">
        <v>15000</v>
      </c>
      <c r="AK79" s="503"/>
      <c r="AL79" s="501"/>
      <c r="AM79" s="504"/>
      <c r="AN79" s="500"/>
      <c r="AO79" s="501"/>
      <c r="AP79" s="502"/>
      <c r="AQ79" s="503"/>
      <c r="AR79" s="501"/>
      <c r="AS79" s="504"/>
      <c r="AT79" s="500"/>
      <c r="AU79" s="501"/>
      <c r="AV79" s="502"/>
      <c r="AW79" s="503"/>
      <c r="AX79" s="501"/>
      <c r="AY79" s="504"/>
      <c r="AZ79" s="500"/>
      <c r="BA79" s="501"/>
      <c r="BB79" s="502"/>
      <c r="BC79" s="503"/>
      <c r="BD79" s="501"/>
      <c r="BE79" s="504"/>
      <c r="BF79" s="500"/>
      <c r="BG79" s="501"/>
      <c r="BH79" s="502"/>
      <c r="BI79" s="503"/>
      <c r="BJ79" s="501"/>
      <c r="BK79" s="504"/>
      <c r="BL79" s="500"/>
      <c r="BM79" s="501"/>
      <c r="BN79" s="502"/>
      <c r="BO79" s="503"/>
      <c r="BP79" s="501"/>
      <c r="BQ79" s="504"/>
      <c r="BR79" s="513">
        <f t="shared" si="14"/>
        <v>12000</v>
      </c>
      <c r="BS79" s="514">
        <f t="shared" si="14"/>
        <v>15000</v>
      </c>
      <c r="BT79" s="515">
        <f t="shared" si="14"/>
        <v>15000</v>
      </c>
      <c r="BU79" s="503">
        <v>1533300</v>
      </c>
      <c r="BV79" s="501">
        <v>1533300</v>
      </c>
      <c r="BW79" s="504">
        <v>1533300</v>
      </c>
    </row>
    <row r="80" spans="1:75" ht="24">
      <c r="A80" s="519" t="s">
        <v>49</v>
      </c>
      <c r="B80" s="520">
        <v>31</v>
      </c>
      <c r="C80" s="520" t="s">
        <v>22</v>
      </c>
      <c r="D80" s="521">
        <v>3235</v>
      </c>
      <c r="E80" s="522" t="s">
        <v>88</v>
      </c>
      <c r="F80" s="523" t="s">
        <v>686</v>
      </c>
      <c r="G80" s="497">
        <f t="shared" si="12"/>
        <v>161350</v>
      </c>
      <c r="H80" s="498">
        <f t="shared" si="12"/>
        <v>158498</v>
      </c>
      <c r="I80" s="499">
        <f t="shared" si="12"/>
        <v>158596</v>
      </c>
      <c r="J80" s="500"/>
      <c r="K80" s="501"/>
      <c r="L80" s="502"/>
      <c r="M80" s="503"/>
      <c r="N80" s="501"/>
      <c r="O80" s="504"/>
      <c r="P80" s="500"/>
      <c r="Q80" s="501"/>
      <c r="R80" s="502"/>
      <c r="S80" s="503"/>
      <c r="T80" s="501"/>
      <c r="U80" s="504"/>
      <c r="V80" s="500"/>
      <c r="W80" s="501"/>
      <c r="X80" s="502"/>
      <c r="Y80" s="505">
        <f t="shared" si="13"/>
        <v>0</v>
      </c>
      <c r="Z80" s="506">
        <f t="shared" si="13"/>
        <v>0</v>
      </c>
      <c r="AA80" s="507">
        <f t="shared" si="13"/>
        <v>0</v>
      </c>
      <c r="AB80" s="500"/>
      <c r="AC80" s="501"/>
      <c r="AD80" s="502"/>
      <c r="AE80" s="503">
        <v>15000</v>
      </c>
      <c r="AF80" s="501">
        <v>15000</v>
      </c>
      <c r="AG80" s="504">
        <v>15000</v>
      </c>
      <c r="AH80" s="500">
        <v>31900</v>
      </c>
      <c r="AI80" s="501">
        <v>30000</v>
      </c>
      <c r="AJ80" s="502">
        <v>30000</v>
      </c>
      <c r="AK80" s="503"/>
      <c r="AL80" s="501"/>
      <c r="AM80" s="504"/>
      <c r="AN80" s="500">
        <v>2000</v>
      </c>
      <c r="AO80" s="501">
        <v>2000</v>
      </c>
      <c r="AP80" s="502">
        <v>2000</v>
      </c>
      <c r="AQ80" s="503">
        <v>10000</v>
      </c>
      <c r="AR80" s="501">
        <v>10000</v>
      </c>
      <c r="AS80" s="504">
        <v>10000</v>
      </c>
      <c r="AT80" s="500">
        <v>4750</v>
      </c>
      <c r="AU80" s="501">
        <v>4798</v>
      </c>
      <c r="AV80" s="502">
        <v>4846</v>
      </c>
      <c r="AW80" s="503">
        <v>5700</v>
      </c>
      <c r="AX80" s="501">
        <v>4700</v>
      </c>
      <c r="AY80" s="504">
        <v>4750</v>
      </c>
      <c r="AZ80" s="500"/>
      <c r="BA80" s="501"/>
      <c r="BB80" s="502"/>
      <c r="BC80" s="503"/>
      <c r="BD80" s="501"/>
      <c r="BE80" s="504"/>
      <c r="BF80" s="500">
        <v>10000</v>
      </c>
      <c r="BG80" s="501">
        <v>10000</v>
      </c>
      <c r="BH80" s="502">
        <v>10000</v>
      </c>
      <c r="BI80" s="503">
        <v>5000</v>
      </c>
      <c r="BJ80" s="501">
        <v>5000</v>
      </c>
      <c r="BK80" s="504">
        <v>5000</v>
      </c>
      <c r="BL80" s="500">
        <v>2000</v>
      </c>
      <c r="BM80" s="501">
        <v>2000</v>
      </c>
      <c r="BN80" s="502">
        <v>2000</v>
      </c>
      <c r="BO80" s="503"/>
      <c r="BP80" s="501"/>
      <c r="BQ80" s="504"/>
      <c r="BR80" s="513">
        <f t="shared" si="14"/>
        <v>86350</v>
      </c>
      <c r="BS80" s="514">
        <f t="shared" si="14"/>
        <v>83498</v>
      </c>
      <c r="BT80" s="515">
        <f t="shared" si="14"/>
        <v>83596</v>
      </c>
      <c r="BU80" s="503">
        <v>75000</v>
      </c>
      <c r="BV80" s="501">
        <v>75000</v>
      </c>
      <c r="BW80" s="504">
        <v>75000</v>
      </c>
    </row>
    <row r="81" spans="1:75" ht="24">
      <c r="A81" s="519" t="s">
        <v>49</v>
      </c>
      <c r="B81" s="520">
        <v>31</v>
      </c>
      <c r="C81" s="520" t="s">
        <v>22</v>
      </c>
      <c r="D81" s="521">
        <v>3236</v>
      </c>
      <c r="E81" s="522" t="s">
        <v>54</v>
      </c>
      <c r="F81" s="523" t="s">
        <v>686</v>
      </c>
      <c r="G81" s="497">
        <f t="shared" si="12"/>
        <v>75000</v>
      </c>
      <c r="H81" s="498">
        <f t="shared" si="12"/>
        <v>75000</v>
      </c>
      <c r="I81" s="499">
        <f t="shared" si="12"/>
        <v>75000</v>
      </c>
      <c r="J81" s="500"/>
      <c r="K81" s="501"/>
      <c r="L81" s="502"/>
      <c r="M81" s="503"/>
      <c r="N81" s="501"/>
      <c r="O81" s="504"/>
      <c r="P81" s="500"/>
      <c r="Q81" s="501"/>
      <c r="R81" s="502"/>
      <c r="S81" s="503"/>
      <c r="T81" s="501"/>
      <c r="U81" s="504"/>
      <c r="V81" s="500"/>
      <c r="W81" s="501"/>
      <c r="X81" s="502"/>
      <c r="Y81" s="505">
        <f t="shared" si="13"/>
        <v>0</v>
      </c>
      <c r="Z81" s="506">
        <f t="shared" si="13"/>
        <v>0</v>
      </c>
      <c r="AA81" s="507">
        <f t="shared" si="13"/>
        <v>0</v>
      </c>
      <c r="AB81" s="500"/>
      <c r="AC81" s="501"/>
      <c r="AD81" s="502"/>
      <c r="AE81" s="503"/>
      <c r="AF81" s="501"/>
      <c r="AG81" s="504"/>
      <c r="AH81" s="500">
        <v>1000</v>
      </c>
      <c r="AI81" s="501">
        <v>1000</v>
      </c>
      <c r="AJ81" s="502">
        <v>1000</v>
      </c>
      <c r="AK81" s="503"/>
      <c r="AL81" s="501"/>
      <c r="AM81" s="504"/>
      <c r="AN81" s="500"/>
      <c r="AO81" s="501"/>
      <c r="AP81" s="502"/>
      <c r="AQ81" s="503"/>
      <c r="AR81" s="501"/>
      <c r="AS81" s="504"/>
      <c r="AT81" s="500"/>
      <c r="AU81" s="501"/>
      <c r="AV81" s="502"/>
      <c r="AW81" s="503"/>
      <c r="AX81" s="501"/>
      <c r="AY81" s="504"/>
      <c r="AZ81" s="500"/>
      <c r="BA81" s="501"/>
      <c r="BB81" s="502"/>
      <c r="BC81" s="503"/>
      <c r="BD81" s="501"/>
      <c r="BE81" s="504"/>
      <c r="BF81" s="500">
        <v>20000</v>
      </c>
      <c r="BG81" s="501">
        <v>20000</v>
      </c>
      <c r="BH81" s="502">
        <v>20000</v>
      </c>
      <c r="BI81" s="503"/>
      <c r="BJ81" s="501"/>
      <c r="BK81" s="504"/>
      <c r="BL81" s="500"/>
      <c r="BM81" s="501"/>
      <c r="BN81" s="502"/>
      <c r="BO81" s="503"/>
      <c r="BP81" s="501"/>
      <c r="BQ81" s="504"/>
      <c r="BR81" s="513">
        <f t="shared" si="14"/>
        <v>21000</v>
      </c>
      <c r="BS81" s="514">
        <f t="shared" si="14"/>
        <v>21000</v>
      </c>
      <c r="BT81" s="515">
        <f t="shared" si="14"/>
        <v>21000</v>
      </c>
      <c r="BU81" s="503">
        <v>54000</v>
      </c>
      <c r="BV81" s="501">
        <v>54000</v>
      </c>
      <c r="BW81" s="504">
        <v>54000</v>
      </c>
    </row>
    <row r="82" spans="1:75" ht="24">
      <c r="A82" s="519" t="s">
        <v>49</v>
      </c>
      <c r="B82" s="520">
        <v>31</v>
      </c>
      <c r="C82" s="520" t="s">
        <v>22</v>
      </c>
      <c r="D82" s="521">
        <v>3237</v>
      </c>
      <c r="E82" s="522" t="s">
        <v>62</v>
      </c>
      <c r="F82" s="523" t="s">
        <v>686</v>
      </c>
      <c r="G82" s="497">
        <f t="shared" si="12"/>
        <v>3900750</v>
      </c>
      <c r="H82" s="498">
        <f t="shared" si="12"/>
        <v>3916600</v>
      </c>
      <c r="I82" s="499">
        <f t="shared" si="12"/>
        <v>3843261</v>
      </c>
      <c r="J82" s="500"/>
      <c r="K82" s="501"/>
      <c r="L82" s="502"/>
      <c r="M82" s="503">
        <v>40000</v>
      </c>
      <c r="N82" s="501">
        <v>40500</v>
      </c>
      <c r="O82" s="504">
        <v>41000</v>
      </c>
      <c r="P82" s="500"/>
      <c r="Q82" s="501"/>
      <c r="R82" s="502"/>
      <c r="S82" s="503"/>
      <c r="T82" s="501"/>
      <c r="U82" s="504"/>
      <c r="V82" s="500">
        <v>9300</v>
      </c>
      <c r="W82" s="501">
        <v>9500</v>
      </c>
      <c r="X82" s="502">
        <v>9500</v>
      </c>
      <c r="Y82" s="505">
        <f t="shared" si="13"/>
        <v>49300</v>
      </c>
      <c r="Z82" s="506">
        <f t="shared" si="13"/>
        <v>50000</v>
      </c>
      <c r="AA82" s="507">
        <f t="shared" si="13"/>
        <v>50500</v>
      </c>
      <c r="AB82" s="500"/>
      <c r="AC82" s="501"/>
      <c r="AD82" s="502"/>
      <c r="AE82" s="503">
        <v>1000000</v>
      </c>
      <c r="AF82" s="501">
        <v>1000000</v>
      </c>
      <c r="AG82" s="504">
        <v>900000</v>
      </c>
      <c r="AH82" s="500">
        <v>154800</v>
      </c>
      <c r="AI82" s="501">
        <v>150000</v>
      </c>
      <c r="AJ82" s="502">
        <v>150000</v>
      </c>
      <c r="AK82" s="503"/>
      <c r="AL82" s="501"/>
      <c r="AM82" s="504"/>
      <c r="AN82" s="500">
        <v>350000</v>
      </c>
      <c r="AO82" s="501">
        <v>350000</v>
      </c>
      <c r="AP82" s="502">
        <v>350000</v>
      </c>
      <c r="AQ82" s="503">
        <v>50000</v>
      </c>
      <c r="AR82" s="501">
        <v>52000</v>
      </c>
      <c r="AS82" s="504">
        <v>54000</v>
      </c>
      <c r="AT82" s="500">
        <v>610000</v>
      </c>
      <c r="AU82" s="501">
        <v>616100</v>
      </c>
      <c r="AV82" s="502">
        <v>622261</v>
      </c>
      <c r="AW82" s="503">
        <v>700000</v>
      </c>
      <c r="AX82" s="501">
        <v>750000</v>
      </c>
      <c r="AY82" s="504">
        <v>750000</v>
      </c>
      <c r="AZ82" s="500">
        <v>58150</v>
      </c>
      <c r="BA82" s="501">
        <v>40000</v>
      </c>
      <c r="BB82" s="502">
        <v>40000</v>
      </c>
      <c r="BC82" s="503"/>
      <c r="BD82" s="501"/>
      <c r="BE82" s="504"/>
      <c r="BF82" s="500">
        <v>182000</v>
      </c>
      <c r="BG82" s="501">
        <v>202000</v>
      </c>
      <c r="BH82" s="502">
        <v>187000</v>
      </c>
      <c r="BI82" s="503">
        <v>186000</v>
      </c>
      <c r="BJ82" s="501">
        <v>146000</v>
      </c>
      <c r="BK82" s="504">
        <v>159000</v>
      </c>
      <c r="BL82" s="500">
        <v>150000</v>
      </c>
      <c r="BM82" s="501">
        <v>150000</v>
      </c>
      <c r="BN82" s="502">
        <v>170000</v>
      </c>
      <c r="BO82" s="503"/>
      <c r="BP82" s="501"/>
      <c r="BQ82" s="504"/>
      <c r="BR82" s="513">
        <f t="shared" si="14"/>
        <v>3490250</v>
      </c>
      <c r="BS82" s="514">
        <f t="shared" si="14"/>
        <v>3506100</v>
      </c>
      <c r="BT82" s="515">
        <f t="shared" si="14"/>
        <v>3432761</v>
      </c>
      <c r="BU82" s="503">
        <v>410500</v>
      </c>
      <c r="BV82" s="501">
        <v>410500</v>
      </c>
      <c r="BW82" s="504">
        <v>410500</v>
      </c>
    </row>
    <row r="83" spans="1:75" ht="24">
      <c r="A83" s="519" t="s">
        <v>49</v>
      </c>
      <c r="B83" s="520">
        <v>31</v>
      </c>
      <c r="C83" s="520" t="s">
        <v>22</v>
      </c>
      <c r="D83" s="521">
        <v>3238</v>
      </c>
      <c r="E83" s="522" t="s">
        <v>82</v>
      </c>
      <c r="F83" s="523" t="s">
        <v>686</v>
      </c>
      <c r="G83" s="497">
        <f t="shared" si="12"/>
        <v>343990</v>
      </c>
      <c r="H83" s="498">
        <f t="shared" si="12"/>
        <v>339050</v>
      </c>
      <c r="I83" s="499">
        <f t="shared" si="12"/>
        <v>339110</v>
      </c>
      <c r="J83" s="500"/>
      <c r="K83" s="501"/>
      <c r="L83" s="502"/>
      <c r="M83" s="503">
        <v>2000</v>
      </c>
      <c r="N83" s="501">
        <v>2050</v>
      </c>
      <c r="O83" s="504">
        <v>2100</v>
      </c>
      <c r="P83" s="500"/>
      <c r="Q83" s="501"/>
      <c r="R83" s="502"/>
      <c r="S83" s="503"/>
      <c r="T83" s="501"/>
      <c r="U83" s="504"/>
      <c r="V83" s="500"/>
      <c r="W83" s="501"/>
      <c r="X83" s="502"/>
      <c r="Y83" s="505">
        <f t="shared" si="13"/>
        <v>2000</v>
      </c>
      <c r="Z83" s="506">
        <f t="shared" si="13"/>
        <v>2050</v>
      </c>
      <c r="AA83" s="507">
        <f t="shared" si="13"/>
        <v>2100</v>
      </c>
      <c r="AB83" s="500"/>
      <c r="AC83" s="501"/>
      <c r="AD83" s="502"/>
      <c r="AE83" s="503"/>
      <c r="AF83" s="501"/>
      <c r="AG83" s="504"/>
      <c r="AH83" s="500">
        <v>10000</v>
      </c>
      <c r="AI83" s="501">
        <v>5000</v>
      </c>
      <c r="AJ83" s="502">
        <v>5000</v>
      </c>
      <c r="AK83" s="503"/>
      <c r="AL83" s="501"/>
      <c r="AM83" s="504"/>
      <c r="AN83" s="500">
        <v>1000</v>
      </c>
      <c r="AO83" s="501">
        <v>1000</v>
      </c>
      <c r="AP83" s="502">
        <v>1000</v>
      </c>
      <c r="AQ83" s="503"/>
      <c r="AR83" s="501"/>
      <c r="AS83" s="504"/>
      <c r="AT83" s="500">
        <v>990</v>
      </c>
      <c r="AU83" s="501">
        <v>1000</v>
      </c>
      <c r="AV83" s="502">
        <v>1010</v>
      </c>
      <c r="AW83" s="503"/>
      <c r="AX83" s="501"/>
      <c r="AY83" s="504"/>
      <c r="AZ83" s="500"/>
      <c r="BA83" s="501"/>
      <c r="BB83" s="502"/>
      <c r="BC83" s="503"/>
      <c r="BD83" s="501"/>
      <c r="BE83" s="504"/>
      <c r="BF83" s="500">
        <v>35000</v>
      </c>
      <c r="BG83" s="501">
        <v>35000</v>
      </c>
      <c r="BH83" s="502">
        <v>35000</v>
      </c>
      <c r="BI83" s="503"/>
      <c r="BJ83" s="501"/>
      <c r="BK83" s="504"/>
      <c r="BL83" s="500"/>
      <c r="BM83" s="501"/>
      <c r="BN83" s="502"/>
      <c r="BO83" s="503"/>
      <c r="BP83" s="501"/>
      <c r="BQ83" s="504"/>
      <c r="BR83" s="513">
        <f t="shared" si="14"/>
        <v>48990</v>
      </c>
      <c r="BS83" s="514">
        <f t="shared" si="14"/>
        <v>44050</v>
      </c>
      <c r="BT83" s="515">
        <f t="shared" si="14"/>
        <v>44110</v>
      </c>
      <c r="BU83" s="503">
        <v>295000</v>
      </c>
      <c r="BV83" s="501">
        <v>295000</v>
      </c>
      <c r="BW83" s="504">
        <v>295000</v>
      </c>
    </row>
    <row r="84" spans="1:75" ht="24">
      <c r="A84" s="519" t="s">
        <v>49</v>
      </c>
      <c r="B84" s="520">
        <v>31</v>
      </c>
      <c r="C84" s="520" t="s">
        <v>22</v>
      </c>
      <c r="D84" s="521">
        <v>3239</v>
      </c>
      <c r="E84" s="522" t="s">
        <v>66</v>
      </c>
      <c r="F84" s="523" t="s">
        <v>686</v>
      </c>
      <c r="G84" s="497">
        <f t="shared" si="12"/>
        <v>638470</v>
      </c>
      <c r="H84" s="498">
        <f t="shared" si="12"/>
        <v>600514</v>
      </c>
      <c r="I84" s="499">
        <f t="shared" si="12"/>
        <v>673828</v>
      </c>
      <c r="J84" s="500"/>
      <c r="K84" s="501"/>
      <c r="L84" s="502"/>
      <c r="M84" s="503">
        <v>4000</v>
      </c>
      <c r="N84" s="501">
        <v>4100</v>
      </c>
      <c r="O84" s="504">
        <v>4200</v>
      </c>
      <c r="P84" s="500"/>
      <c r="Q84" s="501"/>
      <c r="R84" s="502"/>
      <c r="S84" s="503"/>
      <c r="T84" s="501"/>
      <c r="U84" s="504"/>
      <c r="V84" s="500"/>
      <c r="W84" s="501"/>
      <c r="X84" s="502"/>
      <c r="Y84" s="505">
        <f t="shared" si="13"/>
        <v>4000</v>
      </c>
      <c r="Z84" s="506">
        <f t="shared" si="13"/>
        <v>4100</v>
      </c>
      <c r="AA84" s="507">
        <f t="shared" si="13"/>
        <v>4200</v>
      </c>
      <c r="AB84" s="500"/>
      <c r="AC84" s="501"/>
      <c r="AD84" s="502"/>
      <c r="AE84" s="503">
        <v>190000</v>
      </c>
      <c r="AF84" s="501">
        <v>190000</v>
      </c>
      <c r="AG84" s="504">
        <v>190000</v>
      </c>
      <c r="AH84" s="500">
        <v>193070</v>
      </c>
      <c r="AI84" s="501">
        <v>160000</v>
      </c>
      <c r="AJ84" s="502">
        <v>160000</v>
      </c>
      <c r="AK84" s="503"/>
      <c r="AL84" s="501"/>
      <c r="AM84" s="504"/>
      <c r="AN84" s="500">
        <v>5000</v>
      </c>
      <c r="AO84" s="501">
        <v>5000</v>
      </c>
      <c r="AP84" s="502">
        <v>5000</v>
      </c>
      <c r="AQ84" s="503">
        <v>10000</v>
      </c>
      <c r="AR84" s="501">
        <v>11000</v>
      </c>
      <c r="AS84" s="504">
        <v>12000</v>
      </c>
      <c r="AT84" s="500">
        <v>1400</v>
      </c>
      <c r="AU84" s="501">
        <v>1414</v>
      </c>
      <c r="AV84" s="502">
        <v>1428</v>
      </c>
      <c r="AW84" s="503"/>
      <c r="AX84" s="501"/>
      <c r="AY84" s="504"/>
      <c r="AZ84" s="500"/>
      <c r="BA84" s="501"/>
      <c r="BB84" s="502"/>
      <c r="BC84" s="503"/>
      <c r="BD84" s="501"/>
      <c r="BE84" s="504"/>
      <c r="BF84" s="500">
        <v>55000</v>
      </c>
      <c r="BG84" s="501">
        <v>55000</v>
      </c>
      <c r="BH84" s="502">
        <v>55000</v>
      </c>
      <c r="BI84" s="503">
        <v>62000</v>
      </c>
      <c r="BJ84" s="501">
        <v>56000</v>
      </c>
      <c r="BK84" s="504">
        <v>63000</v>
      </c>
      <c r="BL84" s="500">
        <v>90000</v>
      </c>
      <c r="BM84" s="501">
        <v>90000</v>
      </c>
      <c r="BN84" s="502">
        <v>155200</v>
      </c>
      <c r="BO84" s="503"/>
      <c r="BP84" s="501"/>
      <c r="BQ84" s="504"/>
      <c r="BR84" s="513">
        <f t="shared" si="14"/>
        <v>610470</v>
      </c>
      <c r="BS84" s="514">
        <f t="shared" si="14"/>
        <v>572514</v>
      </c>
      <c r="BT84" s="515">
        <f t="shared" si="14"/>
        <v>645828</v>
      </c>
      <c r="BU84" s="503">
        <v>28000</v>
      </c>
      <c r="BV84" s="501">
        <v>28000</v>
      </c>
      <c r="BW84" s="504">
        <v>28000</v>
      </c>
    </row>
    <row r="85" spans="1:75" ht="36">
      <c r="A85" s="519" t="s">
        <v>49</v>
      </c>
      <c r="B85" s="520">
        <v>31</v>
      </c>
      <c r="C85" s="520" t="s">
        <v>22</v>
      </c>
      <c r="D85" s="521">
        <v>3241</v>
      </c>
      <c r="E85" s="522" t="s">
        <v>67</v>
      </c>
      <c r="F85" s="523" t="s">
        <v>686</v>
      </c>
      <c r="G85" s="497">
        <f t="shared" si="12"/>
        <v>129000</v>
      </c>
      <c r="H85" s="498">
        <f t="shared" si="12"/>
        <v>128350</v>
      </c>
      <c r="I85" s="499">
        <f t="shared" si="12"/>
        <v>129702</v>
      </c>
      <c r="J85" s="500"/>
      <c r="K85" s="501"/>
      <c r="L85" s="502"/>
      <c r="M85" s="503">
        <v>15000</v>
      </c>
      <c r="N85" s="501">
        <v>15200</v>
      </c>
      <c r="O85" s="504">
        <v>15400</v>
      </c>
      <c r="P85" s="500"/>
      <c r="Q85" s="501"/>
      <c r="R85" s="502"/>
      <c r="S85" s="503"/>
      <c r="T85" s="501"/>
      <c r="U85" s="504"/>
      <c r="V85" s="500"/>
      <c r="W85" s="501"/>
      <c r="X85" s="502"/>
      <c r="Y85" s="505">
        <f t="shared" si="13"/>
        <v>15000</v>
      </c>
      <c r="Z85" s="506">
        <f t="shared" si="13"/>
        <v>15200</v>
      </c>
      <c r="AA85" s="507">
        <f t="shared" si="13"/>
        <v>15400</v>
      </c>
      <c r="AB85" s="500"/>
      <c r="AC85" s="501"/>
      <c r="AD85" s="502"/>
      <c r="AE85" s="503">
        <v>30000</v>
      </c>
      <c r="AF85" s="501">
        <v>30000</v>
      </c>
      <c r="AG85" s="504">
        <v>30000</v>
      </c>
      <c r="AH85" s="500">
        <v>12000</v>
      </c>
      <c r="AI85" s="501">
        <v>15000</v>
      </c>
      <c r="AJ85" s="502">
        <v>15000</v>
      </c>
      <c r="AK85" s="503"/>
      <c r="AL85" s="501"/>
      <c r="AM85" s="504"/>
      <c r="AN85" s="500"/>
      <c r="AO85" s="501"/>
      <c r="AP85" s="502"/>
      <c r="AQ85" s="503">
        <v>5000</v>
      </c>
      <c r="AR85" s="501">
        <v>6000</v>
      </c>
      <c r="AS85" s="504">
        <v>7000</v>
      </c>
      <c r="AT85" s="500">
        <v>15000</v>
      </c>
      <c r="AU85" s="501">
        <v>15150</v>
      </c>
      <c r="AV85" s="502">
        <v>15302</v>
      </c>
      <c r="AW85" s="503"/>
      <c r="AX85" s="501"/>
      <c r="AY85" s="504"/>
      <c r="AZ85" s="500"/>
      <c r="BA85" s="501"/>
      <c r="BB85" s="502"/>
      <c r="BC85" s="503"/>
      <c r="BD85" s="501"/>
      <c r="BE85" s="504"/>
      <c r="BF85" s="500">
        <v>25000</v>
      </c>
      <c r="BG85" s="501">
        <v>25000</v>
      </c>
      <c r="BH85" s="502">
        <v>25000</v>
      </c>
      <c r="BI85" s="503">
        <v>23000</v>
      </c>
      <c r="BJ85" s="501">
        <v>18000</v>
      </c>
      <c r="BK85" s="504">
        <v>18000</v>
      </c>
      <c r="BL85" s="500">
        <v>4000</v>
      </c>
      <c r="BM85" s="501">
        <v>4000</v>
      </c>
      <c r="BN85" s="502">
        <v>4000</v>
      </c>
      <c r="BO85" s="503"/>
      <c r="BP85" s="501"/>
      <c r="BQ85" s="504"/>
      <c r="BR85" s="513">
        <f t="shared" si="14"/>
        <v>129000</v>
      </c>
      <c r="BS85" s="514">
        <f t="shared" si="14"/>
        <v>128350</v>
      </c>
      <c r="BT85" s="515">
        <f t="shared" si="14"/>
        <v>129702</v>
      </c>
      <c r="BU85" s="503"/>
      <c r="BV85" s="501"/>
      <c r="BW85" s="504"/>
    </row>
    <row r="86" spans="1:75" ht="24">
      <c r="A86" s="519" t="s">
        <v>49</v>
      </c>
      <c r="B86" s="520">
        <v>31</v>
      </c>
      <c r="C86" s="520" t="s">
        <v>22</v>
      </c>
      <c r="D86" s="521">
        <v>3292</v>
      </c>
      <c r="E86" s="522" t="s">
        <v>59</v>
      </c>
      <c r="F86" s="523" t="s">
        <v>686</v>
      </c>
      <c r="G86" s="497">
        <f t="shared" si="12"/>
        <v>76600</v>
      </c>
      <c r="H86" s="498">
        <f t="shared" si="12"/>
        <v>78600</v>
      </c>
      <c r="I86" s="499">
        <f t="shared" si="12"/>
        <v>80600</v>
      </c>
      <c r="J86" s="500"/>
      <c r="K86" s="501"/>
      <c r="L86" s="502"/>
      <c r="M86" s="503">
        <v>1600</v>
      </c>
      <c r="N86" s="501">
        <v>1600</v>
      </c>
      <c r="O86" s="504">
        <v>1600</v>
      </c>
      <c r="P86" s="500"/>
      <c r="Q86" s="501"/>
      <c r="R86" s="502"/>
      <c r="S86" s="503"/>
      <c r="T86" s="501"/>
      <c r="U86" s="504"/>
      <c r="V86" s="500"/>
      <c r="W86" s="501"/>
      <c r="X86" s="502"/>
      <c r="Y86" s="505">
        <f t="shared" si="13"/>
        <v>1600</v>
      </c>
      <c r="Z86" s="506">
        <f t="shared" si="13"/>
        <v>1600</v>
      </c>
      <c r="AA86" s="507">
        <f t="shared" si="13"/>
        <v>1600</v>
      </c>
      <c r="AB86" s="500"/>
      <c r="AC86" s="501"/>
      <c r="AD86" s="502"/>
      <c r="AE86" s="503"/>
      <c r="AF86" s="501"/>
      <c r="AG86" s="504"/>
      <c r="AH86" s="500">
        <v>6000</v>
      </c>
      <c r="AI86" s="501">
        <v>8000</v>
      </c>
      <c r="AJ86" s="502">
        <v>10000</v>
      </c>
      <c r="AK86" s="503"/>
      <c r="AL86" s="501"/>
      <c r="AM86" s="504"/>
      <c r="AN86" s="500"/>
      <c r="AO86" s="501"/>
      <c r="AP86" s="502"/>
      <c r="AQ86" s="503"/>
      <c r="AR86" s="501"/>
      <c r="AS86" s="504"/>
      <c r="AT86" s="500"/>
      <c r="AU86" s="501"/>
      <c r="AV86" s="502"/>
      <c r="AW86" s="503"/>
      <c r="AX86" s="501"/>
      <c r="AY86" s="504"/>
      <c r="AZ86" s="500"/>
      <c r="BA86" s="501"/>
      <c r="BB86" s="502"/>
      <c r="BC86" s="503"/>
      <c r="BD86" s="501"/>
      <c r="BE86" s="504"/>
      <c r="BF86" s="500">
        <v>10000</v>
      </c>
      <c r="BG86" s="501">
        <v>10000</v>
      </c>
      <c r="BH86" s="502">
        <v>10000</v>
      </c>
      <c r="BI86" s="503"/>
      <c r="BJ86" s="501"/>
      <c r="BK86" s="504"/>
      <c r="BL86" s="500"/>
      <c r="BM86" s="501"/>
      <c r="BN86" s="502"/>
      <c r="BO86" s="503"/>
      <c r="BP86" s="501"/>
      <c r="BQ86" s="504"/>
      <c r="BR86" s="513">
        <f t="shared" si="14"/>
        <v>17600</v>
      </c>
      <c r="BS86" s="514">
        <f t="shared" si="14"/>
        <v>19600</v>
      </c>
      <c r="BT86" s="515">
        <f t="shared" si="14"/>
        <v>21600</v>
      </c>
      <c r="BU86" s="503">
        <v>59000</v>
      </c>
      <c r="BV86" s="501">
        <v>59000</v>
      </c>
      <c r="BW86" s="504">
        <v>59000</v>
      </c>
    </row>
    <row r="87" spans="1:75" ht="24">
      <c r="A87" s="519" t="s">
        <v>49</v>
      </c>
      <c r="B87" s="520">
        <v>31</v>
      </c>
      <c r="C87" s="520" t="s">
        <v>22</v>
      </c>
      <c r="D87" s="521">
        <v>3293</v>
      </c>
      <c r="E87" s="522" t="s">
        <v>68</v>
      </c>
      <c r="F87" s="523" t="s">
        <v>686</v>
      </c>
      <c r="G87" s="497">
        <f t="shared" si="12"/>
        <v>436250</v>
      </c>
      <c r="H87" s="498">
        <f t="shared" si="12"/>
        <v>434382</v>
      </c>
      <c r="I87" s="499">
        <f t="shared" si="12"/>
        <v>435513</v>
      </c>
      <c r="J87" s="500"/>
      <c r="K87" s="501"/>
      <c r="L87" s="502"/>
      <c r="M87" s="503">
        <v>6000</v>
      </c>
      <c r="N87" s="501">
        <v>6100</v>
      </c>
      <c r="O87" s="504">
        <v>6200</v>
      </c>
      <c r="P87" s="500">
        <v>3000</v>
      </c>
      <c r="Q87" s="501">
        <v>3000</v>
      </c>
      <c r="R87" s="502">
        <v>3000</v>
      </c>
      <c r="S87" s="503"/>
      <c r="T87" s="501"/>
      <c r="U87" s="504"/>
      <c r="V87" s="500"/>
      <c r="W87" s="501"/>
      <c r="X87" s="502"/>
      <c r="Y87" s="505">
        <f t="shared" si="13"/>
        <v>9000</v>
      </c>
      <c r="Z87" s="506">
        <f t="shared" si="13"/>
        <v>9100</v>
      </c>
      <c r="AA87" s="507">
        <f t="shared" si="13"/>
        <v>9200</v>
      </c>
      <c r="AB87" s="500"/>
      <c r="AC87" s="501"/>
      <c r="AD87" s="502"/>
      <c r="AE87" s="503">
        <v>30000</v>
      </c>
      <c r="AF87" s="501">
        <v>30000</v>
      </c>
      <c r="AG87" s="504">
        <v>30000</v>
      </c>
      <c r="AH87" s="500">
        <v>125000</v>
      </c>
      <c r="AI87" s="501">
        <v>120000</v>
      </c>
      <c r="AJ87" s="502">
        <v>120000</v>
      </c>
      <c r="AK87" s="503"/>
      <c r="AL87" s="501"/>
      <c r="AM87" s="504"/>
      <c r="AN87" s="500">
        <v>1000</v>
      </c>
      <c r="AO87" s="501">
        <v>1000</v>
      </c>
      <c r="AP87" s="502">
        <v>1000</v>
      </c>
      <c r="AQ87" s="503">
        <v>90000</v>
      </c>
      <c r="AR87" s="501">
        <v>91000</v>
      </c>
      <c r="AS87" s="504">
        <v>92000</v>
      </c>
      <c r="AT87" s="500">
        <v>3150</v>
      </c>
      <c r="AU87" s="501">
        <v>3182</v>
      </c>
      <c r="AV87" s="502">
        <v>3213</v>
      </c>
      <c r="AW87" s="503"/>
      <c r="AX87" s="501"/>
      <c r="AY87" s="504"/>
      <c r="AZ87" s="500"/>
      <c r="BA87" s="501"/>
      <c r="BB87" s="502"/>
      <c r="BC87" s="503"/>
      <c r="BD87" s="501"/>
      <c r="BE87" s="504"/>
      <c r="BF87" s="500">
        <v>35000</v>
      </c>
      <c r="BG87" s="501">
        <v>35000</v>
      </c>
      <c r="BH87" s="502">
        <v>35000</v>
      </c>
      <c r="BI87" s="503">
        <v>12000</v>
      </c>
      <c r="BJ87" s="501">
        <v>14000</v>
      </c>
      <c r="BK87" s="504">
        <v>14000</v>
      </c>
      <c r="BL87" s="500">
        <v>43600</v>
      </c>
      <c r="BM87" s="501">
        <v>43600</v>
      </c>
      <c r="BN87" s="502">
        <v>43600</v>
      </c>
      <c r="BO87" s="503"/>
      <c r="BP87" s="501"/>
      <c r="BQ87" s="504"/>
      <c r="BR87" s="513">
        <f t="shared" si="14"/>
        <v>348750</v>
      </c>
      <c r="BS87" s="514">
        <f t="shared" si="14"/>
        <v>346882</v>
      </c>
      <c r="BT87" s="515">
        <f t="shared" si="14"/>
        <v>348013</v>
      </c>
      <c r="BU87" s="503">
        <v>87500</v>
      </c>
      <c r="BV87" s="501">
        <v>87500</v>
      </c>
      <c r="BW87" s="504">
        <v>87500</v>
      </c>
    </row>
    <row r="88" spans="1:75" ht="24">
      <c r="A88" s="519" t="s">
        <v>49</v>
      </c>
      <c r="B88" s="520">
        <v>31</v>
      </c>
      <c r="C88" s="520" t="s">
        <v>22</v>
      </c>
      <c r="D88" s="521">
        <v>3294</v>
      </c>
      <c r="E88" s="522" t="s">
        <v>69</v>
      </c>
      <c r="F88" s="523" t="s">
        <v>686</v>
      </c>
      <c r="G88" s="497">
        <f t="shared" si="12"/>
        <v>31100</v>
      </c>
      <c r="H88" s="498">
        <f t="shared" si="12"/>
        <v>31100</v>
      </c>
      <c r="I88" s="499">
        <f t="shared" si="12"/>
        <v>31100</v>
      </c>
      <c r="J88" s="500"/>
      <c r="K88" s="501"/>
      <c r="L88" s="502"/>
      <c r="M88" s="503">
        <v>600</v>
      </c>
      <c r="N88" s="501">
        <v>600</v>
      </c>
      <c r="O88" s="504">
        <v>600</v>
      </c>
      <c r="P88" s="500">
        <v>500</v>
      </c>
      <c r="Q88" s="501">
        <v>500</v>
      </c>
      <c r="R88" s="502">
        <v>500</v>
      </c>
      <c r="S88" s="503"/>
      <c r="T88" s="501"/>
      <c r="U88" s="504"/>
      <c r="V88" s="500"/>
      <c r="W88" s="501"/>
      <c r="X88" s="502"/>
      <c r="Y88" s="505">
        <f t="shared" si="13"/>
        <v>1100</v>
      </c>
      <c r="Z88" s="506">
        <f t="shared" si="13"/>
        <v>1100</v>
      </c>
      <c r="AA88" s="507">
        <f t="shared" si="13"/>
        <v>1100</v>
      </c>
      <c r="AB88" s="500"/>
      <c r="AC88" s="501"/>
      <c r="AD88" s="502"/>
      <c r="AE88" s="503">
        <v>2000</v>
      </c>
      <c r="AF88" s="501">
        <v>2000</v>
      </c>
      <c r="AG88" s="504">
        <v>2000</v>
      </c>
      <c r="AH88" s="500">
        <v>3000</v>
      </c>
      <c r="AI88" s="501">
        <v>3000</v>
      </c>
      <c r="AJ88" s="502">
        <v>3000</v>
      </c>
      <c r="AK88" s="503"/>
      <c r="AL88" s="501"/>
      <c r="AM88" s="504"/>
      <c r="AN88" s="500"/>
      <c r="AO88" s="501"/>
      <c r="AP88" s="502"/>
      <c r="AQ88" s="503"/>
      <c r="AR88" s="501"/>
      <c r="AS88" s="504"/>
      <c r="AT88" s="500"/>
      <c r="AU88" s="501"/>
      <c r="AV88" s="502"/>
      <c r="AW88" s="503">
        <v>15000</v>
      </c>
      <c r="AX88" s="501">
        <v>15000</v>
      </c>
      <c r="AY88" s="504">
        <v>15000</v>
      </c>
      <c r="AZ88" s="500"/>
      <c r="BA88" s="501"/>
      <c r="BB88" s="502"/>
      <c r="BC88" s="503"/>
      <c r="BD88" s="501"/>
      <c r="BE88" s="504"/>
      <c r="BF88" s="500">
        <v>10000</v>
      </c>
      <c r="BG88" s="501">
        <v>10000</v>
      </c>
      <c r="BH88" s="502">
        <v>10000</v>
      </c>
      <c r="BI88" s="503"/>
      <c r="BJ88" s="501"/>
      <c r="BK88" s="504"/>
      <c r="BL88" s="500"/>
      <c r="BM88" s="501"/>
      <c r="BN88" s="502"/>
      <c r="BO88" s="503"/>
      <c r="BP88" s="501"/>
      <c r="BQ88" s="504"/>
      <c r="BR88" s="513">
        <f t="shared" si="14"/>
        <v>31100</v>
      </c>
      <c r="BS88" s="514">
        <f t="shared" si="14"/>
        <v>31100</v>
      </c>
      <c r="BT88" s="515">
        <f t="shared" si="14"/>
        <v>31100</v>
      </c>
      <c r="BU88" s="503"/>
      <c r="BV88" s="501"/>
      <c r="BW88" s="504"/>
    </row>
    <row r="89" spans="1:75" ht="24">
      <c r="A89" s="519" t="s">
        <v>49</v>
      </c>
      <c r="B89" s="520">
        <v>31</v>
      </c>
      <c r="C89" s="520" t="s">
        <v>22</v>
      </c>
      <c r="D89" s="521">
        <v>3295</v>
      </c>
      <c r="E89" s="522" t="s">
        <v>55</v>
      </c>
      <c r="F89" s="523" t="s">
        <v>686</v>
      </c>
      <c r="G89" s="497">
        <f t="shared" si="12"/>
        <v>27300</v>
      </c>
      <c r="H89" s="498">
        <f t="shared" si="12"/>
        <v>24350</v>
      </c>
      <c r="I89" s="499">
        <f t="shared" si="12"/>
        <v>22400</v>
      </c>
      <c r="J89" s="500"/>
      <c r="K89" s="501"/>
      <c r="L89" s="502"/>
      <c r="M89" s="503">
        <v>2300</v>
      </c>
      <c r="N89" s="501">
        <v>2350</v>
      </c>
      <c r="O89" s="504">
        <v>2400</v>
      </c>
      <c r="P89" s="500"/>
      <c r="Q89" s="501"/>
      <c r="R89" s="502"/>
      <c r="S89" s="503"/>
      <c r="T89" s="501"/>
      <c r="U89" s="504"/>
      <c r="V89" s="500"/>
      <c r="W89" s="501"/>
      <c r="X89" s="502"/>
      <c r="Y89" s="505">
        <f t="shared" si="13"/>
        <v>2300</v>
      </c>
      <c r="Z89" s="506">
        <f t="shared" si="13"/>
        <v>2350</v>
      </c>
      <c r="AA89" s="507">
        <f t="shared" si="13"/>
        <v>2400</v>
      </c>
      <c r="AB89" s="500"/>
      <c r="AC89" s="501"/>
      <c r="AD89" s="502"/>
      <c r="AE89" s="503"/>
      <c r="AF89" s="501"/>
      <c r="AG89" s="504"/>
      <c r="AH89" s="500">
        <v>15000</v>
      </c>
      <c r="AI89" s="501">
        <v>12000</v>
      </c>
      <c r="AJ89" s="502">
        <v>10000</v>
      </c>
      <c r="AK89" s="503"/>
      <c r="AL89" s="501"/>
      <c r="AM89" s="504"/>
      <c r="AN89" s="500">
        <v>5000</v>
      </c>
      <c r="AO89" s="501">
        <v>5000</v>
      </c>
      <c r="AP89" s="502">
        <v>5000</v>
      </c>
      <c r="AQ89" s="503"/>
      <c r="AR89" s="501"/>
      <c r="AS89" s="504"/>
      <c r="AT89" s="500"/>
      <c r="AU89" s="501"/>
      <c r="AV89" s="502"/>
      <c r="AW89" s="503"/>
      <c r="AX89" s="501"/>
      <c r="AY89" s="504"/>
      <c r="AZ89" s="500"/>
      <c r="BA89" s="501"/>
      <c r="BB89" s="502"/>
      <c r="BC89" s="503"/>
      <c r="BD89" s="501"/>
      <c r="BE89" s="504"/>
      <c r="BF89" s="500">
        <v>5000</v>
      </c>
      <c r="BG89" s="501">
        <v>5000</v>
      </c>
      <c r="BH89" s="502">
        <v>5000</v>
      </c>
      <c r="BI89" s="503"/>
      <c r="BJ89" s="501"/>
      <c r="BK89" s="504"/>
      <c r="BL89" s="500"/>
      <c r="BM89" s="501"/>
      <c r="BN89" s="502"/>
      <c r="BO89" s="503"/>
      <c r="BP89" s="501"/>
      <c r="BQ89" s="504"/>
      <c r="BR89" s="513">
        <f t="shared" si="14"/>
        <v>27300</v>
      </c>
      <c r="BS89" s="514">
        <f t="shared" si="14"/>
        <v>24350</v>
      </c>
      <c r="BT89" s="515">
        <f t="shared" si="14"/>
        <v>22400</v>
      </c>
      <c r="BU89" s="503"/>
      <c r="BV89" s="501"/>
      <c r="BW89" s="504"/>
    </row>
    <row r="90" spans="1:75" ht="24">
      <c r="A90" s="519" t="s">
        <v>49</v>
      </c>
      <c r="B90" s="520">
        <v>31</v>
      </c>
      <c r="C90" s="520" t="s">
        <v>22</v>
      </c>
      <c r="D90" s="521">
        <v>3296</v>
      </c>
      <c r="E90" s="522" t="s">
        <v>97</v>
      </c>
      <c r="F90" s="523" t="s">
        <v>686</v>
      </c>
      <c r="G90" s="497">
        <f t="shared" si="12"/>
        <v>30000</v>
      </c>
      <c r="H90" s="498">
        <f t="shared" si="12"/>
        <v>30000</v>
      </c>
      <c r="I90" s="499">
        <f t="shared" si="12"/>
        <v>30000</v>
      </c>
      <c r="J90" s="500"/>
      <c r="K90" s="501"/>
      <c r="L90" s="502"/>
      <c r="M90" s="503"/>
      <c r="N90" s="501"/>
      <c r="O90" s="504"/>
      <c r="P90" s="500"/>
      <c r="Q90" s="501"/>
      <c r="R90" s="502"/>
      <c r="S90" s="503"/>
      <c r="T90" s="501"/>
      <c r="U90" s="504"/>
      <c r="V90" s="500"/>
      <c r="W90" s="501"/>
      <c r="X90" s="502"/>
      <c r="Y90" s="505">
        <f t="shared" si="13"/>
        <v>0</v>
      </c>
      <c r="Z90" s="506">
        <f t="shared" si="13"/>
        <v>0</v>
      </c>
      <c r="AA90" s="507">
        <f t="shared" si="13"/>
        <v>0</v>
      </c>
      <c r="AB90" s="500"/>
      <c r="AC90" s="501"/>
      <c r="AD90" s="502"/>
      <c r="AE90" s="503"/>
      <c r="AF90" s="501"/>
      <c r="AG90" s="504"/>
      <c r="AH90" s="500"/>
      <c r="AI90" s="501"/>
      <c r="AJ90" s="502"/>
      <c r="AK90" s="503"/>
      <c r="AL90" s="501"/>
      <c r="AM90" s="504"/>
      <c r="AN90" s="500"/>
      <c r="AO90" s="501"/>
      <c r="AP90" s="502"/>
      <c r="AQ90" s="503"/>
      <c r="AR90" s="501"/>
      <c r="AS90" s="504"/>
      <c r="AT90" s="500"/>
      <c r="AU90" s="501"/>
      <c r="AV90" s="502"/>
      <c r="AW90" s="503"/>
      <c r="AX90" s="501"/>
      <c r="AY90" s="504"/>
      <c r="AZ90" s="500"/>
      <c r="BA90" s="501"/>
      <c r="BB90" s="502"/>
      <c r="BC90" s="503"/>
      <c r="BD90" s="501"/>
      <c r="BE90" s="504"/>
      <c r="BF90" s="500">
        <v>30000</v>
      </c>
      <c r="BG90" s="501">
        <v>30000</v>
      </c>
      <c r="BH90" s="502">
        <v>30000</v>
      </c>
      <c r="BI90" s="503"/>
      <c r="BJ90" s="501"/>
      <c r="BK90" s="504"/>
      <c r="BL90" s="500"/>
      <c r="BM90" s="501"/>
      <c r="BN90" s="502"/>
      <c r="BO90" s="503"/>
      <c r="BP90" s="501"/>
      <c r="BQ90" s="504"/>
      <c r="BR90" s="513">
        <f t="shared" si="14"/>
        <v>30000</v>
      </c>
      <c r="BS90" s="514">
        <f t="shared" si="14"/>
        <v>30000</v>
      </c>
      <c r="BT90" s="515">
        <f t="shared" si="14"/>
        <v>30000</v>
      </c>
      <c r="BU90" s="503"/>
      <c r="BV90" s="501"/>
      <c r="BW90" s="504"/>
    </row>
    <row r="91" spans="1:75" ht="24">
      <c r="A91" s="519" t="s">
        <v>49</v>
      </c>
      <c r="B91" s="520">
        <v>31</v>
      </c>
      <c r="C91" s="520" t="s">
        <v>22</v>
      </c>
      <c r="D91" s="521">
        <v>3299</v>
      </c>
      <c r="E91" s="522" t="s">
        <v>57</v>
      </c>
      <c r="F91" s="523" t="s">
        <v>686</v>
      </c>
      <c r="G91" s="497">
        <f t="shared" si="12"/>
        <v>1103618</v>
      </c>
      <c r="H91" s="498">
        <f t="shared" si="12"/>
        <v>1062852</v>
      </c>
      <c r="I91" s="499">
        <f t="shared" si="12"/>
        <v>1043065</v>
      </c>
      <c r="J91" s="500"/>
      <c r="K91" s="501"/>
      <c r="L91" s="502"/>
      <c r="M91" s="503">
        <v>10000</v>
      </c>
      <c r="N91" s="501">
        <v>10100</v>
      </c>
      <c r="O91" s="504">
        <v>10200</v>
      </c>
      <c r="P91" s="500">
        <v>1000</v>
      </c>
      <c r="Q91" s="501">
        <v>1000</v>
      </c>
      <c r="R91" s="502">
        <v>1000</v>
      </c>
      <c r="S91" s="503">
        <v>1585</v>
      </c>
      <c r="T91" s="501">
        <v>1619</v>
      </c>
      <c r="U91" s="504">
        <v>1631</v>
      </c>
      <c r="V91" s="500">
        <v>2000</v>
      </c>
      <c r="W91" s="501">
        <v>2000</v>
      </c>
      <c r="X91" s="502">
        <v>2000</v>
      </c>
      <c r="Y91" s="505">
        <f t="shared" si="13"/>
        <v>14585</v>
      </c>
      <c r="Z91" s="506">
        <f t="shared" si="13"/>
        <v>14719</v>
      </c>
      <c r="AA91" s="507">
        <f t="shared" si="13"/>
        <v>14831</v>
      </c>
      <c r="AB91" s="500"/>
      <c r="AC91" s="501"/>
      <c r="AD91" s="502"/>
      <c r="AE91" s="503">
        <v>80000</v>
      </c>
      <c r="AF91" s="501">
        <v>70000</v>
      </c>
      <c r="AG91" s="504">
        <v>60000</v>
      </c>
      <c r="AH91" s="500">
        <v>60000</v>
      </c>
      <c r="AI91" s="501">
        <v>30000</v>
      </c>
      <c r="AJ91" s="502">
        <v>20000</v>
      </c>
      <c r="AK91" s="503"/>
      <c r="AL91" s="501"/>
      <c r="AM91" s="504"/>
      <c r="AN91" s="500">
        <v>500</v>
      </c>
      <c r="AO91" s="501">
        <v>500</v>
      </c>
      <c r="AP91" s="502">
        <v>500</v>
      </c>
      <c r="AQ91" s="503"/>
      <c r="AR91" s="501"/>
      <c r="AS91" s="504"/>
      <c r="AT91" s="500">
        <v>10000</v>
      </c>
      <c r="AU91" s="501">
        <v>10100</v>
      </c>
      <c r="AV91" s="502">
        <v>10201</v>
      </c>
      <c r="AW91" s="503"/>
      <c r="AX91" s="501"/>
      <c r="AY91" s="504"/>
      <c r="AZ91" s="500"/>
      <c r="BA91" s="501"/>
      <c r="BB91" s="502"/>
      <c r="BC91" s="503"/>
      <c r="BD91" s="501"/>
      <c r="BE91" s="504"/>
      <c r="BF91" s="500">
        <v>5000</v>
      </c>
      <c r="BG91" s="501">
        <v>5000</v>
      </c>
      <c r="BH91" s="502">
        <v>5000</v>
      </c>
      <c r="BI91" s="503">
        <v>28000</v>
      </c>
      <c r="BJ91" s="501">
        <v>27000</v>
      </c>
      <c r="BK91" s="504">
        <v>27000</v>
      </c>
      <c r="BL91" s="500"/>
      <c r="BM91" s="501"/>
      <c r="BN91" s="502"/>
      <c r="BO91" s="503"/>
      <c r="BP91" s="501"/>
      <c r="BQ91" s="504"/>
      <c r="BR91" s="513">
        <f t="shared" si="14"/>
        <v>198085</v>
      </c>
      <c r="BS91" s="514">
        <f t="shared" si="14"/>
        <v>157319</v>
      </c>
      <c r="BT91" s="515">
        <f t="shared" si="14"/>
        <v>137532</v>
      </c>
      <c r="BU91" s="503">
        <v>905533</v>
      </c>
      <c r="BV91" s="501">
        <v>905533</v>
      </c>
      <c r="BW91" s="504">
        <v>905533</v>
      </c>
    </row>
    <row r="92" spans="1:75" ht="36">
      <c r="A92" s="519" t="s">
        <v>49</v>
      </c>
      <c r="B92" s="520">
        <v>31</v>
      </c>
      <c r="C92" s="520" t="s">
        <v>22</v>
      </c>
      <c r="D92" s="521">
        <v>3431</v>
      </c>
      <c r="E92" s="522" t="s">
        <v>70</v>
      </c>
      <c r="F92" s="523" t="s">
        <v>686</v>
      </c>
      <c r="G92" s="497">
        <f t="shared" si="12"/>
        <v>195105</v>
      </c>
      <c r="H92" s="498">
        <f t="shared" si="12"/>
        <v>194451</v>
      </c>
      <c r="I92" s="499">
        <f t="shared" si="12"/>
        <v>194863</v>
      </c>
      <c r="J92" s="500"/>
      <c r="K92" s="501"/>
      <c r="L92" s="502"/>
      <c r="M92" s="503">
        <v>1000</v>
      </c>
      <c r="N92" s="501">
        <v>1000</v>
      </c>
      <c r="O92" s="504">
        <v>1000</v>
      </c>
      <c r="P92" s="500"/>
      <c r="Q92" s="501"/>
      <c r="R92" s="502"/>
      <c r="S92" s="503">
        <v>2500</v>
      </c>
      <c r="T92" s="501">
        <v>2553</v>
      </c>
      <c r="U92" s="504">
        <v>2572</v>
      </c>
      <c r="V92" s="500">
        <v>1300</v>
      </c>
      <c r="W92" s="501">
        <v>1300</v>
      </c>
      <c r="X92" s="502">
        <v>1300</v>
      </c>
      <c r="Y92" s="505">
        <f t="shared" si="13"/>
        <v>4800</v>
      </c>
      <c r="Z92" s="506">
        <f t="shared" si="13"/>
        <v>4853</v>
      </c>
      <c r="AA92" s="507">
        <f t="shared" si="13"/>
        <v>4872</v>
      </c>
      <c r="AB92" s="500"/>
      <c r="AC92" s="501"/>
      <c r="AD92" s="502"/>
      <c r="AE92" s="503">
        <v>10000</v>
      </c>
      <c r="AF92" s="501">
        <v>9000</v>
      </c>
      <c r="AG92" s="504">
        <v>8000</v>
      </c>
      <c r="AH92" s="500">
        <v>4000</v>
      </c>
      <c r="AI92" s="501">
        <v>4000</v>
      </c>
      <c r="AJ92" s="502">
        <v>5000</v>
      </c>
      <c r="AK92" s="503"/>
      <c r="AL92" s="501"/>
      <c r="AM92" s="504"/>
      <c r="AN92" s="500">
        <v>1000</v>
      </c>
      <c r="AO92" s="501">
        <v>1000</v>
      </c>
      <c r="AP92" s="502">
        <v>1000</v>
      </c>
      <c r="AQ92" s="503">
        <v>1000</v>
      </c>
      <c r="AR92" s="501">
        <v>1500</v>
      </c>
      <c r="AS92" s="504">
        <v>1800</v>
      </c>
      <c r="AT92" s="500">
        <v>9250</v>
      </c>
      <c r="AU92" s="501">
        <v>9343</v>
      </c>
      <c r="AV92" s="502">
        <v>9436</v>
      </c>
      <c r="AW92" s="503"/>
      <c r="AX92" s="501"/>
      <c r="AY92" s="504"/>
      <c r="AZ92" s="500">
        <v>3705</v>
      </c>
      <c r="BA92" s="501">
        <v>3405</v>
      </c>
      <c r="BB92" s="502">
        <v>3405</v>
      </c>
      <c r="BC92" s="503">
        <v>100</v>
      </c>
      <c r="BD92" s="501">
        <v>100</v>
      </c>
      <c r="BE92" s="504">
        <v>100</v>
      </c>
      <c r="BF92" s="500">
        <v>5500</v>
      </c>
      <c r="BG92" s="501">
        <v>5500</v>
      </c>
      <c r="BH92" s="502">
        <v>5500</v>
      </c>
      <c r="BI92" s="503">
        <v>4000</v>
      </c>
      <c r="BJ92" s="501">
        <v>4000</v>
      </c>
      <c r="BK92" s="504">
        <v>4000</v>
      </c>
      <c r="BL92" s="500">
        <v>28000</v>
      </c>
      <c r="BM92" s="501">
        <v>28000</v>
      </c>
      <c r="BN92" s="502">
        <v>28000</v>
      </c>
      <c r="BO92" s="503"/>
      <c r="BP92" s="501"/>
      <c r="BQ92" s="504"/>
      <c r="BR92" s="513">
        <f t="shared" si="14"/>
        <v>71355</v>
      </c>
      <c r="BS92" s="514">
        <f t="shared" si="14"/>
        <v>70701</v>
      </c>
      <c r="BT92" s="515">
        <f t="shared" si="14"/>
        <v>71113</v>
      </c>
      <c r="BU92" s="503">
        <v>123750</v>
      </c>
      <c r="BV92" s="501">
        <v>123750</v>
      </c>
      <c r="BW92" s="504">
        <v>123750</v>
      </c>
    </row>
    <row r="93" spans="1:75" ht="48">
      <c r="A93" s="519" t="s">
        <v>49</v>
      </c>
      <c r="B93" s="520">
        <v>31</v>
      </c>
      <c r="C93" s="520" t="s">
        <v>22</v>
      </c>
      <c r="D93" s="521">
        <v>3432</v>
      </c>
      <c r="E93" s="522" t="s">
        <v>807</v>
      </c>
      <c r="F93" s="523" t="s">
        <v>686</v>
      </c>
      <c r="G93" s="497">
        <f t="shared" si="12"/>
        <v>138544</v>
      </c>
      <c r="H93" s="498">
        <f t="shared" si="12"/>
        <v>141832</v>
      </c>
      <c r="I93" s="499">
        <f t="shared" si="12"/>
        <v>146253</v>
      </c>
      <c r="J93" s="500"/>
      <c r="K93" s="501"/>
      <c r="L93" s="502"/>
      <c r="M93" s="503">
        <v>900</v>
      </c>
      <c r="N93" s="501">
        <v>900</v>
      </c>
      <c r="O93" s="504">
        <v>900</v>
      </c>
      <c r="P93" s="500"/>
      <c r="Q93" s="501"/>
      <c r="R93" s="502"/>
      <c r="S93" s="503">
        <v>500</v>
      </c>
      <c r="T93" s="501">
        <v>510</v>
      </c>
      <c r="U93" s="504">
        <v>515</v>
      </c>
      <c r="V93" s="500">
        <v>400</v>
      </c>
      <c r="W93" s="501">
        <v>400</v>
      </c>
      <c r="X93" s="502">
        <v>400</v>
      </c>
      <c r="Y93" s="505">
        <f t="shared" si="13"/>
        <v>1800</v>
      </c>
      <c r="Z93" s="506">
        <f t="shared" si="13"/>
        <v>1810</v>
      </c>
      <c r="AA93" s="507">
        <f t="shared" si="13"/>
        <v>1815</v>
      </c>
      <c r="AB93" s="500"/>
      <c r="AC93" s="501"/>
      <c r="AD93" s="502"/>
      <c r="AE93" s="503">
        <v>2000</v>
      </c>
      <c r="AF93" s="501">
        <v>1000</v>
      </c>
      <c r="AG93" s="504">
        <v>1000</v>
      </c>
      <c r="AH93" s="500">
        <v>131736</v>
      </c>
      <c r="AI93" s="501">
        <v>136014</v>
      </c>
      <c r="AJ93" s="502">
        <v>140430</v>
      </c>
      <c r="AK93" s="503"/>
      <c r="AL93" s="501"/>
      <c r="AM93" s="504"/>
      <c r="AN93" s="500">
        <v>500</v>
      </c>
      <c r="AO93" s="501">
        <v>500</v>
      </c>
      <c r="AP93" s="502">
        <v>500</v>
      </c>
      <c r="AQ93" s="503">
        <v>500</v>
      </c>
      <c r="AR93" s="501">
        <v>500</v>
      </c>
      <c r="AS93" s="504">
        <v>500</v>
      </c>
      <c r="AT93" s="500">
        <v>8</v>
      </c>
      <c r="AU93" s="501">
        <v>8</v>
      </c>
      <c r="AV93" s="502">
        <v>8</v>
      </c>
      <c r="AW93" s="503"/>
      <c r="AX93" s="501"/>
      <c r="AY93" s="504"/>
      <c r="AZ93" s="500"/>
      <c r="BA93" s="501"/>
      <c r="BB93" s="502"/>
      <c r="BC93" s="503"/>
      <c r="BD93" s="501"/>
      <c r="BE93" s="504"/>
      <c r="BF93" s="500">
        <v>1500</v>
      </c>
      <c r="BG93" s="501">
        <v>1500</v>
      </c>
      <c r="BH93" s="502">
        <v>1500</v>
      </c>
      <c r="BI93" s="503"/>
      <c r="BJ93" s="501"/>
      <c r="BK93" s="504"/>
      <c r="BL93" s="500">
        <v>500</v>
      </c>
      <c r="BM93" s="501">
        <v>500</v>
      </c>
      <c r="BN93" s="502">
        <v>500</v>
      </c>
      <c r="BO93" s="503"/>
      <c r="BP93" s="501"/>
      <c r="BQ93" s="504"/>
      <c r="BR93" s="513">
        <f t="shared" si="14"/>
        <v>138544</v>
      </c>
      <c r="BS93" s="514">
        <f t="shared" si="14"/>
        <v>141832</v>
      </c>
      <c r="BT93" s="515">
        <f t="shared" si="14"/>
        <v>146253</v>
      </c>
      <c r="BU93" s="503"/>
      <c r="BV93" s="501"/>
      <c r="BW93" s="504"/>
    </row>
    <row r="94" spans="1:75" ht="24">
      <c r="A94" s="519" t="s">
        <v>49</v>
      </c>
      <c r="B94" s="520">
        <v>31</v>
      </c>
      <c r="C94" s="520" t="s">
        <v>22</v>
      </c>
      <c r="D94" s="521">
        <v>3433</v>
      </c>
      <c r="E94" s="522" t="s">
        <v>725</v>
      </c>
      <c r="F94" s="523" t="s">
        <v>686</v>
      </c>
      <c r="G94" s="497">
        <f t="shared" si="12"/>
        <v>500</v>
      </c>
      <c r="H94" s="498">
        <f t="shared" si="12"/>
        <v>500</v>
      </c>
      <c r="I94" s="499">
        <f t="shared" si="12"/>
        <v>500</v>
      </c>
      <c r="J94" s="500"/>
      <c r="K94" s="501"/>
      <c r="L94" s="502"/>
      <c r="M94" s="503"/>
      <c r="N94" s="501"/>
      <c r="O94" s="504"/>
      <c r="P94" s="500"/>
      <c r="Q94" s="501"/>
      <c r="R94" s="502"/>
      <c r="S94" s="503"/>
      <c r="T94" s="501"/>
      <c r="U94" s="504"/>
      <c r="V94" s="500"/>
      <c r="W94" s="501"/>
      <c r="X94" s="502"/>
      <c r="Y94" s="505">
        <f t="shared" si="13"/>
        <v>0</v>
      </c>
      <c r="Z94" s="506">
        <f t="shared" si="13"/>
        <v>0</v>
      </c>
      <c r="AA94" s="507">
        <f t="shared" si="13"/>
        <v>0</v>
      </c>
      <c r="AB94" s="500"/>
      <c r="AC94" s="501"/>
      <c r="AD94" s="502"/>
      <c r="AE94" s="503"/>
      <c r="AF94" s="501"/>
      <c r="AG94" s="504"/>
      <c r="AH94" s="500"/>
      <c r="AI94" s="501"/>
      <c r="AJ94" s="502"/>
      <c r="AK94" s="503"/>
      <c r="AL94" s="501"/>
      <c r="AM94" s="504"/>
      <c r="AN94" s="500"/>
      <c r="AO94" s="501"/>
      <c r="AP94" s="502"/>
      <c r="AQ94" s="503"/>
      <c r="AR94" s="501"/>
      <c r="AS94" s="504"/>
      <c r="AT94" s="500"/>
      <c r="AU94" s="501"/>
      <c r="AV94" s="502"/>
      <c r="AW94" s="503"/>
      <c r="AX94" s="501"/>
      <c r="AY94" s="504"/>
      <c r="AZ94" s="500"/>
      <c r="BA94" s="501"/>
      <c r="BB94" s="502"/>
      <c r="BC94" s="503"/>
      <c r="BD94" s="501"/>
      <c r="BE94" s="504"/>
      <c r="BF94" s="500">
        <v>500</v>
      </c>
      <c r="BG94" s="501">
        <v>500</v>
      </c>
      <c r="BH94" s="502">
        <v>500</v>
      </c>
      <c r="BI94" s="503"/>
      <c r="BJ94" s="501"/>
      <c r="BK94" s="504"/>
      <c r="BL94" s="500"/>
      <c r="BM94" s="501"/>
      <c r="BN94" s="502"/>
      <c r="BO94" s="503"/>
      <c r="BP94" s="501"/>
      <c r="BQ94" s="504"/>
      <c r="BR94" s="513">
        <f t="shared" si="14"/>
        <v>500</v>
      </c>
      <c r="BS94" s="514">
        <f t="shared" si="14"/>
        <v>500</v>
      </c>
      <c r="BT94" s="515">
        <f t="shared" si="14"/>
        <v>500</v>
      </c>
      <c r="BU94" s="503"/>
      <c r="BV94" s="501"/>
      <c r="BW94" s="504"/>
    </row>
    <row r="95" spans="1:75" ht="36">
      <c r="A95" s="519" t="s">
        <v>49</v>
      </c>
      <c r="B95" s="520">
        <v>31</v>
      </c>
      <c r="C95" s="520" t="s">
        <v>22</v>
      </c>
      <c r="D95" s="521">
        <v>3434</v>
      </c>
      <c r="E95" s="522" t="s">
        <v>808</v>
      </c>
      <c r="F95" s="523" t="s">
        <v>686</v>
      </c>
      <c r="G95" s="497">
        <f t="shared" si="12"/>
        <v>18593</v>
      </c>
      <c r="H95" s="498">
        <f t="shared" si="12"/>
        <v>14315</v>
      </c>
      <c r="I95" s="499">
        <f t="shared" si="12"/>
        <v>9899</v>
      </c>
      <c r="J95" s="500"/>
      <c r="K95" s="501"/>
      <c r="L95" s="502"/>
      <c r="M95" s="503"/>
      <c r="N95" s="501"/>
      <c r="O95" s="504"/>
      <c r="P95" s="500"/>
      <c r="Q95" s="501"/>
      <c r="R95" s="502"/>
      <c r="S95" s="503"/>
      <c r="T95" s="501"/>
      <c r="U95" s="504"/>
      <c r="V95" s="500"/>
      <c r="W95" s="501"/>
      <c r="X95" s="502"/>
      <c r="Y95" s="505">
        <f t="shared" si="13"/>
        <v>0</v>
      </c>
      <c r="Z95" s="506">
        <f t="shared" si="13"/>
        <v>0</v>
      </c>
      <c r="AA95" s="507">
        <f t="shared" si="13"/>
        <v>0</v>
      </c>
      <c r="AB95" s="500"/>
      <c r="AC95" s="501"/>
      <c r="AD95" s="502"/>
      <c r="AE95" s="503"/>
      <c r="AF95" s="501"/>
      <c r="AG95" s="504"/>
      <c r="AH95" s="500">
        <v>18593</v>
      </c>
      <c r="AI95" s="501">
        <v>14315</v>
      </c>
      <c r="AJ95" s="502">
        <v>9899</v>
      </c>
      <c r="AK95" s="503"/>
      <c r="AL95" s="501"/>
      <c r="AM95" s="504"/>
      <c r="AN95" s="500"/>
      <c r="AO95" s="501"/>
      <c r="AP95" s="502"/>
      <c r="AQ95" s="503"/>
      <c r="AR95" s="501"/>
      <c r="AS95" s="504"/>
      <c r="AT95" s="500"/>
      <c r="AU95" s="501"/>
      <c r="AV95" s="502"/>
      <c r="AW95" s="503"/>
      <c r="AX95" s="501"/>
      <c r="AY95" s="504"/>
      <c r="AZ95" s="500"/>
      <c r="BA95" s="501"/>
      <c r="BB95" s="502"/>
      <c r="BC95" s="503"/>
      <c r="BD95" s="501"/>
      <c r="BE95" s="504"/>
      <c r="BF95" s="500"/>
      <c r="BG95" s="501"/>
      <c r="BH95" s="502"/>
      <c r="BI95" s="503"/>
      <c r="BJ95" s="501"/>
      <c r="BK95" s="504"/>
      <c r="BL95" s="500"/>
      <c r="BM95" s="501"/>
      <c r="BN95" s="502"/>
      <c r="BO95" s="503"/>
      <c r="BP95" s="501"/>
      <c r="BQ95" s="504"/>
      <c r="BR95" s="513">
        <f t="shared" si="14"/>
        <v>18593</v>
      </c>
      <c r="BS95" s="514">
        <f t="shared" si="14"/>
        <v>14315</v>
      </c>
      <c r="BT95" s="515">
        <f t="shared" si="14"/>
        <v>9899</v>
      </c>
      <c r="BU95" s="503"/>
      <c r="BV95" s="501"/>
      <c r="BW95" s="504"/>
    </row>
    <row r="96" spans="1:75" ht="24">
      <c r="A96" s="519" t="s">
        <v>49</v>
      </c>
      <c r="B96" s="520">
        <v>31</v>
      </c>
      <c r="C96" s="520" t="s">
        <v>22</v>
      </c>
      <c r="D96" s="521">
        <v>3811</v>
      </c>
      <c r="E96" s="522" t="s">
        <v>56</v>
      </c>
      <c r="F96" s="523" t="s">
        <v>686</v>
      </c>
      <c r="G96" s="497">
        <f t="shared" si="12"/>
        <v>60000</v>
      </c>
      <c r="H96" s="498">
        <f t="shared" si="12"/>
        <v>60000</v>
      </c>
      <c r="I96" s="499">
        <f t="shared" si="12"/>
        <v>60500</v>
      </c>
      <c r="J96" s="500">
        <v>25000</v>
      </c>
      <c r="K96" s="501">
        <v>25000</v>
      </c>
      <c r="L96" s="502">
        <v>25500</v>
      </c>
      <c r="M96" s="503"/>
      <c r="N96" s="501"/>
      <c r="O96" s="504"/>
      <c r="P96" s="500"/>
      <c r="Q96" s="501"/>
      <c r="R96" s="502"/>
      <c r="S96" s="503"/>
      <c r="T96" s="501"/>
      <c r="U96" s="504"/>
      <c r="V96" s="500"/>
      <c r="W96" s="501"/>
      <c r="X96" s="502"/>
      <c r="Y96" s="505">
        <f t="shared" si="13"/>
        <v>25000</v>
      </c>
      <c r="Z96" s="506">
        <f t="shared" si="13"/>
        <v>25000</v>
      </c>
      <c r="AA96" s="507">
        <f t="shared" si="13"/>
        <v>25500</v>
      </c>
      <c r="AB96" s="500"/>
      <c r="AC96" s="501"/>
      <c r="AD96" s="502"/>
      <c r="AE96" s="503">
        <v>20000</v>
      </c>
      <c r="AF96" s="501">
        <v>20000</v>
      </c>
      <c r="AG96" s="504">
        <v>20000</v>
      </c>
      <c r="AH96" s="500"/>
      <c r="AI96" s="501"/>
      <c r="AJ96" s="502"/>
      <c r="AK96" s="503"/>
      <c r="AL96" s="501"/>
      <c r="AM96" s="504"/>
      <c r="AN96" s="500"/>
      <c r="AO96" s="501"/>
      <c r="AP96" s="502"/>
      <c r="AQ96" s="503">
        <v>15000</v>
      </c>
      <c r="AR96" s="501">
        <v>15000</v>
      </c>
      <c r="AS96" s="504">
        <v>15000</v>
      </c>
      <c r="AT96" s="500"/>
      <c r="AU96" s="501"/>
      <c r="AV96" s="502"/>
      <c r="AW96" s="503"/>
      <c r="AX96" s="501"/>
      <c r="AY96" s="504"/>
      <c r="AZ96" s="500"/>
      <c r="BA96" s="501"/>
      <c r="BB96" s="502"/>
      <c r="BC96" s="503"/>
      <c r="BD96" s="501"/>
      <c r="BE96" s="504"/>
      <c r="BF96" s="500"/>
      <c r="BG96" s="501"/>
      <c r="BH96" s="502"/>
      <c r="BI96" s="503"/>
      <c r="BJ96" s="501"/>
      <c r="BK96" s="504"/>
      <c r="BL96" s="500"/>
      <c r="BM96" s="501"/>
      <c r="BN96" s="502"/>
      <c r="BO96" s="503"/>
      <c r="BP96" s="501"/>
      <c r="BQ96" s="504"/>
      <c r="BR96" s="513">
        <f t="shared" si="14"/>
        <v>60000</v>
      </c>
      <c r="BS96" s="514">
        <f t="shared" si="14"/>
        <v>60000</v>
      </c>
      <c r="BT96" s="515">
        <f t="shared" si="14"/>
        <v>60500</v>
      </c>
      <c r="BU96" s="503"/>
      <c r="BV96" s="501"/>
      <c r="BW96" s="504"/>
    </row>
    <row r="97" spans="1:75" ht="24">
      <c r="A97" s="519" t="s">
        <v>49</v>
      </c>
      <c r="B97" s="520">
        <v>31</v>
      </c>
      <c r="C97" s="520" t="s">
        <v>22</v>
      </c>
      <c r="D97" s="521">
        <v>4123</v>
      </c>
      <c r="E97" s="522" t="s">
        <v>92</v>
      </c>
      <c r="F97" s="523" t="s">
        <v>686</v>
      </c>
      <c r="G97" s="497">
        <f t="shared" si="12"/>
        <v>10000</v>
      </c>
      <c r="H97" s="498">
        <f t="shared" si="12"/>
        <v>10000</v>
      </c>
      <c r="I97" s="499">
        <f t="shared" si="12"/>
        <v>10000</v>
      </c>
      <c r="J97" s="500"/>
      <c r="K97" s="501"/>
      <c r="L97" s="502"/>
      <c r="M97" s="503"/>
      <c r="N97" s="501"/>
      <c r="O97" s="504"/>
      <c r="P97" s="500"/>
      <c r="Q97" s="501"/>
      <c r="R97" s="502"/>
      <c r="S97" s="503"/>
      <c r="T97" s="501"/>
      <c r="U97" s="504"/>
      <c r="V97" s="500"/>
      <c r="W97" s="501"/>
      <c r="X97" s="502"/>
      <c r="Y97" s="505">
        <f t="shared" si="13"/>
        <v>0</v>
      </c>
      <c r="Z97" s="506">
        <f t="shared" si="13"/>
        <v>0</v>
      </c>
      <c r="AA97" s="507">
        <f t="shared" si="13"/>
        <v>0</v>
      </c>
      <c r="AB97" s="500"/>
      <c r="AC97" s="501"/>
      <c r="AD97" s="502"/>
      <c r="AE97" s="503"/>
      <c r="AF97" s="501"/>
      <c r="AG97" s="504"/>
      <c r="AH97" s="500"/>
      <c r="AI97" s="501"/>
      <c r="AJ97" s="502"/>
      <c r="AK97" s="503"/>
      <c r="AL97" s="501"/>
      <c r="AM97" s="504"/>
      <c r="AN97" s="500"/>
      <c r="AO97" s="501"/>
      <c r="AP97" s="502"/>
      <c r="AQ97" s="503"/>
      <c r="AR97" s="501"/>
      <c r="AS97" s="504"/>
      <c r="AT97" s="500"/>
      <c r="AU97" s="501"/>
      <c r="AV97" s="502"/>
      <c r="AW97" s="503"/>
      <c r="AX97" s="501"/>
      <c r="AY97" s="504"/>
      <c r="AZ97" s="500"/>
      <c r="BA97" s="501"/>
      <c r="BB97" s="502"/>
      <c r="BC97" s="503"/>
      <c r="BD97" s="501"/>
      <c r="BE97" s="504"/>
      <c r="BF97" s="500">
        <v>10000</v>
      </c>
      <c r="BG97" s="501">
        <v>10000</v>
      </c>
      <c r="BH97" s="502">
        <v>10000</v>
      </c>
      <c r="BI97" s="503"/>
      <c r="BJ97" s="501"/>
      <c r="BK97" s="504"/>
      <c r="BL97" s="500"/>
      <c r="BM97" s="501"/>
      <c r="BN97" s="502"/>
      <c r="BO97" s="503"/>
      <c r="BP97" s="501"/>
      <c r="BQ97" s="504"/>
      <c r="BR97" s="513">
        <f t="shared" si="14"/>
        <v>10000</v>
      </c>
      <c r="BS97" s="514">
        <f t="shared" si="14"/>
        <v>10000</v>
      </c>
      <c r="BT97" s="515">
        <f t="shared" si="14"/>
        <v>10000</v>
      </c>
      <c r="BU97" s="503"/>
      <c r="BV97" s="501"/>
      <c r="BW97" s="504"/>
    </row>
    <row r="98" spans="1:75" ht="36">
      <c r="A98" s="519" t="s">
        <v>49</v>
      </c>
      <c r="B98" s="520">
        <v>31</v>
      </c>
      <c r="C98" s="520" t="s">
        <v>22</v>
      </c>
      <c r="D98" s="521">
        <v>4124</v>
      </c>
      <c r="E98" s="522" t="s">
        <v>721</v>
      </c>
      <c r="F98" s="523" t="s">
        <v>686</v>
      </c>
      <c r="G98" s="497">
        <f t="shared" si="12"/>
        <v>323264</v>
      </c>
      <c r="H98" s="498">
        <f t="shared" si="12"/>
        <v>363986</v>
      </c>
      <c r="I98" s="499">
        <f t="shared" si="12"/>
        <v>359570</v>
      </c>
      <c r="J98" s="500"/>
      <c r="K98" s="501"/>
      <c r="L98" s="502"/>
      <c r="M98" s="503"/>
      <c r="N98" s="501"/>
      <c r="O98" s="504"/>
      <c r="P98" s="500"/>
      <c r="Q98" s="501"/>
      <c r="R98" s="502"/>
      <c r="S98" s="503"/>
      <c r="T98" s="501"/>
      <c r="U98" s="504"/>
      <c r="V98" s="500"/>
      <c r="W98" s="501"/>
      <c r="X98" s="502"/>
      <c r="Y98" s="505">
        <f t="shared" si="13"/>
        <v>0</v>
      </c>
      <c r="Z98" s="506">
        <f t="shared" si="13"/>
        <v>0</v>
      </c>
      <c r="AA98" s="507">
        <f t="shared" si="13"/>
        <v>0</v>
      </c>
      <c r="AB98" s="500"/>
      <c r="AC98" s="501"/>
      <c r="AD98" s="502"/>
      <c r="AE98" s="503"/>
      <c r="AF98" s="501"/>
      <c r="AG98" s="504"/>
      <c r="AH98" s="500">
        <f>455000-131736</f>
        <v>323264</v>
      </c>
      <c r="AI98" s="501">
        <f>500000-136014</f>
        <v>363986</v>
      </c>
      <c r="AJ98" s="502">
        <f>500000-140430</f>
        <v>359570</v>
      </c>
      <c r="AK98" s="503"/>
      <c r="AL98" s="501"/>
      <c r="AM98" s="504"/>
      <c r="AN98" s="500"/>
      <c r="AO98" s="501"/>
      <c r="AP98" s="502"/>
      <c r="AQ98" s="503"/>
      <c r="AR98" s="501"/>
      <c r="AS98" s="504"/>
      <c r="AT98" s="500"/>
      <c r="AU98" s="501"/>
      <c r="AV98" s="502"/>
      <c r="AW98" s="503"/>
      <c r="AX98" s="501"/>
      <c r="AY98" s="504"/>
      <c r="AZ98" s="500"/>
      <c r="BA98" s="501"/>
      <c r="BB98" s="502"/>
      <c r="BC98" s="503"/>
      <c r="BD98" s="501"/>
      <c r="BE98" s="504"/>
      <c r="BF98" s="500"/>
      <c r="BG98" s="501"/>
      <c r="BH98" s="502"/>
      <c r="BI98" s="503"/>
      <c r="BJ98" s="501"/>
      <c r="BK98" s="504"/>
      <c r="BL98" s="500"/>
      <c r="BM98" s="501"/>
      <c r="BN98" s="502"/>
      <c r="BO98" s="503"/>
      <c r="BP98" s="501"/>
      <c r="BQ98" s="504"/>
      <c r="BR98" s="513">
        <f t="shared" si="14"/>
        <v>323264</v>
      </c>
      <c r="BS98" s="514">
        <f t="shared" si="14"/>
        <v>363986</v>
      </c>
      <c r="BT98" s="515">
        <f t="shared" si="14"/>
        <v>359570</v>
      </c>
      <c r="BU98" s="503"/>
      <c r="BV98" s="501"/>
      <c r="BW98" s="504"/>
    </row>
    <row r="99" spans="1:75" ht="24">
      <c r="A99" s="519" t="s">
        <v>49</v>
      </c>
      <c r="B99" s="520">
        <v>31</v>
      </c>
      <c r="C99" s="520" t="s">
        <v>22</v>
      </c>
      <c r="D99" s="521">
        <v>4212</v>
      </c>
      <c r="E99" s="522" t="s">
        <v>58</v>
      </c>
      <c r="F99" s="523" t="s">
        <v>686</v>
      </c>
      <c r="G99" s="497">
        <f t="shared" si="12"/>
        <v>900000</v>
      </c>
      <c r="H99" s="498">
        <f t="shared" si="12"/>
        <v>0</v>
      </c>
      <c r="I99" s="499">
        <f t="shared" si="12"/>
        <v>0</v>
      </c>
      <c r="J99" s="500"/>
      <c r="K99" s="501"/>
      <c r="L99" s="502"/>
      <c r="M99" s="503"/>
      <c r="N99" s="501"/>
      <c r="O99" s="504"/>
      <c r="P99" s="500"/>
      <c r="Q99" s="501"/>
      <c r="R99" s="502"/>
      <c r="S99" s="503"/>
      <c r="T99" s="501"/>
      <c r="U99" s="504"/>
      <c r="V99" s="500"/>
      <c r="W99" s="501"/>
      <c r="X99" s="502"/>
      <c r="Y99" s="505">
        <f t="shared" si="13"/>
        <v>0</v>
      </c>
      <c r="Z99" s="506">
        <f t="shared" si="13"/>
        <v>0</v>
      </c>
      <c r="AA99" s="507">
        <f t="shared" si="13"/>
        <v>0</v>
      </c>
      <c r="AB99" s="500"/>
      <c r="AC99" s="501"/>
      <c r="AD99" s="502"/>
      <c r="AE99" s="503"/>
      <c r="AF99" s="501"/>
      <c r="AG99" s="504"/>
      <c r="AH99" s="500"/>
      <c r="AI99" s="501"/>
      <c r="AJ99" s="502"/>
      <c r="AK99" s="503"/>
      <c r="AL99" s="501"/>
      <c r="AM99" s="504"/>
      <c r="AN99" s="500"/>
      <c r="AO99" s="501"/>
      <c r="AP99" s="502"/>
      <c r="AQ99" s="503"/>
      <c r="AR99" s="501"/>
      <c r="AS99" s="504"/>
      <c r="AT99" s="500"/>
      <c r="AU99" s="501"/>
      <c r="AV99" s="502"/>
      <c r="AW99" s="503"/>
      <c r="AX99" s="501"/>
      <c r="AY99" s="504"/>
      <c r="AZ99" s="500"/>
      <c r="BA99" s="501"/>
      <c r="BB99" s="502"/>
      <c r="BC99" s="503"/>
      <c r="BD99" s="501"/>
      <c r="BE99" s="504"/>
      <c r="BF99" s="500"/>
      <c r="BG99" s="501"/>
      <c r="BH99" s="502"/>
      <c r="BI99" s="503"/>
      <c r="BJ99" s="501"/>
      <c r="BK99" s="504"/>
      <c r="BL99" s="500">
        <v>900000</v>
      </c>
      <c r="BM99" s="501">
        <v>0</v>
      </c>
      <c r="BN99" s="502">
        <v>0</v>
      </c>
      <c r="BO99" s="503"/>
      <c r="BP99" s="501"/>
      <c r="BQ99" s="504"/>
      <c r="BR99" s="513">
        <f t="shared" si="14"/>
        <v>900000</v>
      </c>
      <c r="BS99" s="514">
        <f t="shared" si="14"/>
        <v>0</v>
      </c>
      <c r="BT99" s="515">
        <f t="shared" si="14"/>
        <v>0</v>
      </c>
      <c r="BU99" s="503"/>
      <c r="BV99" s="501"/>
      <c r="BW99" s="504"/>
    </row>
    <row r="100" spans="1:75" ht="24">
      <c r="A100" s="519" t="s">
        <v>49</v>
      </c>
      <c r="B100" s="520">
        <v>31</v>
      </c>
      <c r="C100" s="520" t="s">
        <v>22</v>
      </c>
      <c r="D100" s="521">
        <v>4221</v>
      </c>
      <c r="E100" s="522" t="s">
        <v>63</v>
      </c>
      <c r="F100" s="523" t="s">
        <v>686</v>
      </c>
      <c r="G100" s="497">
        <f t="shared" si="12"/>
        <v>439000</v>
      </c>
      <c r="H100" s="498">
        <f t="shared" si="12"/>
        <v>537350</v>
      </c>
      <c r="I100" s="499">
        <f t="shared" si="12"/>
        <v>542704</v>
      </c>
      <c r="J100" s="500"/>
      <c r="K100" s="501"/>
      <c r="L100" s="502"/>
      <c r="M100" s="503"/>
      <c r="N100" s="501"/>
      <c r="O100" s="504"/>
      <c r="P100" s="500"/>
      <c r="Q100" s="501"/>
      <c r="R100" s="502"/>
      <c r="S100" s="503"/>
      <c r="T100" s="501"/>
      <c r="U100" s="504"/>
      <c r="V100" s="500"/>
      <c r="W100" s="501"/>
      <c r="X100" s="502"/>
      <c r="Y100" s="505">
        <f t="shared" si="13"/>
        <v>0</v>
      </c>
      <c r="Z100" s="506">
        <f t="shared" si="13"/>
        <v>0</v>
      </c>
      <c r="AA100" s="507">
        <f t="shared" si="13"/>
        <v>0</v>
      </c>
      <c r="AB100" s="500"/>
      <c r="AC100" s="501"/>
      <c r="AD100" s="502"/>
      <c r="AE100" s="503">
        <v>10000</v>
      </c>
      <c r="AF100" s="501">
        <v>10000</v>
      </c>
      <c r="AG100" s="504">
        <v>10000</v>
      </c>
      <c r="AH100" s="500">
        <v>30000</v>
      </c>
      <c r="AI100" s="501">
        <v>30000</v>
      </c>
      <c r="AJ100" s="502">
        <v>30000</v>
      </c>
      <c r="AK100" s="503"/>
      <c r="AL100" s="501"/>
      <c r="AM100" s="504"/>
      <c r="AN100" s="500"/>
      <c r="AO100" s="501"/>
      <c r="AP100" s="502"/>
      <c r="AQ100" s="503">
        <v>193000</v>
      </c>
      <c r="AR100" s="501">
        <v>193000</v>
      </c>
      <c r="AS100" s="504">
        <v>193000</v>
      </c>
      <c r="AT100" s="500">
        <v>35000</v>
      </c>
      <c r="AU100" s="501">
        <v>35350</v>
      </c>
      <c r="AV100" s="502">
        <v>35704</v>
      </c>
      <c r="AW100" s="503"/>
      <c r="AX100" s="501"/>
      <c r="AY100" s="504"/>
      <c r="AZ100" s="500"/>
      <c r="BA100" s="501"/>
      <c r="BB100" s="502"/>
      <c r="BC100" s="503"/>
      <c r="BD100" s="501"/>
      <c r="BE100" s="504"/>
      <c r="BF100" s="500">
        <v>25000</v>
      </c>
      <c r="BG100" s="501">
        <v>25000</v>
      </c>
      <c r="BH100" s="502">
        <v>25000</v>
      </c>
      <c r="BI100" s="503">
        <v>66000</v>
      </c>
      <c r="BJ100" s="501">
        <v>159000</v>
      </c>
      <c r="BK100" s="504">
        <v>164000</v>
      </c>
      <c r="BL100" s="500"/>
      <c r="BM100" s="501"/>
      <c r="BN100" s="502"/>
      <c r="BO100" s="503">
        <v>80000</v>
      </c>
      <c r="BP100" s="501">
        <v>85000</v>
      </c>
      <c r="BQ100" s="504">
        <v>85000</v>
      </c>
      <c r="BR100" s="513">
        <f t="shared" si="14"/>
        <v>439000</v>
      </c>
      <c r="BS100" s="514">
        <f t="shared" si="14"/>
        <v>537350</v>
      </c>
      <c r="BT100" s="515">
        <f t="shared" si="14"/>
        <v>542704</v>
      </c>
      <c r="BU100" s="503"/>
      <c r="BV100" s="501"/>
      <c r="BW100" s="504"/>
    </row>
    <row r="101" spans="1:75" ht="24">
      <c r="A101" s="519" t="s">
        <v>49</v>
      </c>
      <c r="B101" s="520">
        <v>31</v>
      </c>
      <c r="C101" s="520" t="s">
        <v>22</v>
      </c>
      <c r="D101" s="521">
        <v>4222</v>
      </c>
      <c r="E101" s="522" t="s">
        <v>72</v>
      </c>
      <c r="F101" s="523" t="s">
        <v>686</v>
      </c>
      <c r="G101" s="497">
        <f t="shared" si="12"/>
        <v>17000</v>
      </c>
      <c r="H101" s="498">
        <f t="shared" si="12"/>
        <v>17000</v>
      </c>
      <c r="I101" s="499">
        <f t="shared" si="12"/>
        <v>17000</v>
      </c>
      <c r="J101" s="500"/>
      <c r="K101" s="501"/>
      <c r="L101" s="502"/>
      <c r="M101" s="503"/>
      <c r="N101" s="501"/>
      <c r="O101" s="504"/>
      <c r="P101" s="500"/>
      <c r="Q101" s="501"/>
      <c r="R101" s="502"/>
      <c r="S101" s="503"/>
      <c r="T101" s="501"/>
      <c r="U101" s="504"/>
      <c r="V101" s="500"/>
      <c r="W101" s="501"/>
      <c r="X101" s="502"/>
      <c r="Y101" s="505">
        <f t="shared" si="13"/>
        <v>0</v>
      </c>
      <c r="Z101" s="506">
        <f t="shared" si="13"/>
        <v>0</v>
      </c>
      <c r="AA101" s="507">
        <f t="shared" si="13"/>
        <v>0</v>
      </c>
      <c r="AB101" s="500"/>
      <c r="AC101" s="501"/>
      <c r="AD101" s="502"/>
      <c r="AE101" s="503"/>
      <c r="AF101" s="501"/>
      <c r="AG101" s="504"/>
      <c r="AH101" s="500"/>
      <c r="AI101" s="501"/>
      <c r="AJ101" s="502"/>
      <c r="AK101" s="503"/>
      <c r="AL101" s="501"/>
      <c r="AM101" s="504"/>
      <c r="AN101" s="500">
        <v>2000</v>
      </c>
      <c r="AO101" s="501">
        <v>2000</v>
      </c>
      <c r="AP101" s="502">
        <v>2000</v>
      </c>
      <c r="AQ101" s="503"/>
      <c r="AR101" s="501"/>
      <c r="AS101" s="504"/>
      <c r="AT101" s="500"/>
      <c r="AU101" s="501"/>
      <c r="AV101" s="502"/>
      <c r="AW101" s="503"/>
      <c r="AX101" s="501"/>
      <c r="AY101" s="504"/>
      <c r="AZ101" s="500"/>
      <c r="BA101" s="501"/>
      <c r="BB101" s="502"/>
      <c r="BC101" s="503"/>
      <c r="BD101" s="501"/>
      <c r="BE101" s="504"/>
      <c r="BF101" s="500">
        <v>15000</v>
      </c>
      <c r="BG101" s="501">
        <v>15000</v>
      </c>
      <c r="BH101" s="502">
        <v>15000</v>
      </c>
      <c r="BI101" s="503"/>
      <c r="BJ101" s="501"/>
      <c r="BK101" s="504"/>
      <c r="BL101" s="500"/>
      <c r="BM101" s="501"/>
      <c r="BN101" s="502"/>
      <c r="BO101" s="503"/>
      <c r="BP101" s="501"/>
      <c r="BQ101" s="504"/>
      <c r="BR101" s="513">
        <f t="shared" si="14"/>
        <v>17000</v>
      </c>
      <c r="BS101" s="514">
        <f t="shared" si="14"/>
        <v>17000</v>
      </c>
      <c r="BT101" s="515">
        <f t="shared" si="14"/>
        <v>17000</v>
      </c>
      <c r="BU101" s="503"/>
      <c r="BV101" s="501"/>
      <c r="BW101" s="504"/>
    </row>
    <row r="102" spans="1:75" ht="24">
      <c r="A102" s="519" t="s">
        <v>49</v>
      </c>
      <c r="B102" s="520">
        <v>31</v>
      </c>
      <c r="C102" s="520" t="s">
        <v>22</v>
      </c>
      <c r="D102" s="521">
        <v>4223</v>
      </c>
      <c r="E102" s="522" t="s">
        <v>90</v>
      </c>
      <c r="F102" s="523" t="s">
        <v>686</v>
      </c>
      <c r="G102" s="497">
        <f t="shared" si="12"/>
        <v>9999</v>
      </c>
      <c r="H102" s="498">
        <f t="shared" si="12"/>
        <v>10049</v>
      </c>
      <c r="I102" s="499">
        <f t="shared" si="12"/>
        <v>10100</v>
      </c>
      <c r="J102" s="500"/>
      <c r="K102" s="501"/>
      <c r="L102" s="502"/>
      <c r="M102" s="503"/>
      <c r="N102" s="501"/>
      <c r="O102" s="504"/>
      <c r="P102" s="500"/>
      <c r="Q102" s="501"/>
      <c r="R102" s="502"/>
      <c r="S102" s="503"/>
      <c r="T102" s="501"/>
      <c r="U102" s="504"/>
      <c r="V102" s="500"/>
      <c r="W102" s="501"/>
      <c r="X102" s="502"/>
      <c r="Y102" s="505">
        <f t="shared" si="13"/>
        <v>0</v>
      </c>
      <c r="Z102" s="506">
        <f t="shared" si="13"/>
        <v>0</v>
      </c>
      <c r="AA102" s="507">
        <f t="shared" si="13"/>
        <v>0</v>
      </c>
      <c r="AB102" s="500"/>
      <c r="AC102" s="501"/>
      <c r="AD102" s="502"/>
      <c r="AE102" s="503"/>
      <c r="AF102" s="501"/>
      <c r="AG102" s="504"/>
      <c r="AH102" s="500"/>
      <c r="AI102" s="501"/>
      <c r="AJ102" s="502"/>
      <c r="AK102" s="503"/>
      <c r="AL102" s="501"/>
      <c r="AM102" s="504"/>
      <c r="AN102" s="500"/>
      <c r="AO102" s="501"/>
      <c r="AP102" s="502"/>
      <c r="AQ102" s="503"/>
      <c r="AR102" s="501"/>
      <c r="AS102" s="504"/>
      <c r="AT102" s="500">
        <v>4999</v>
      </c>
      <c r="AU102" s="501">
        <v>5049</v>
      </c>
      <c r="AV102" s="502">
        <v>5100</v>
      </c>
      <c r="AW102" s="503"/>
      <c r="AX102" s="501"/>
      <c r="AY102" s="504"/>
      <c r="AZ102" s="500"/>
      <c r="BA102" s="501"/>
      <c r="BB102" s="502"/>
      <c r="BC102" s="503"/>
      <c r="BD102" s="501"/>
      <c r="BE102" s="504"/>
      <c r="BF102" s="500">
        <v>5000</v>
      </c>
      <c r="BG102" s="501">
        <v>5000</v>
      </c>
      <c r="BH102" s="502">
        <v>5000</v>
      </c>
      <c r="BI102" s="503"/>
      <c r="BJ102" s="501"/>
      <c r="BK102" s="504"/>
      <c r="BL102" s="500"/>
      <c r="BM102" s="501"/>
      <c r="BN102" s="502"/>
      <c r="BO102" s="503"/>
      <c r="BP102" s="501"/>
      <c r="BQ102" s="504"/>
      <c r="BR102" s="513">
        <f t="shared" si="14"/>
        <v>9999</v>
      </c>
      <c r="BS102" s="514">
        <f t="shared" si="14"/>
        <v>10049</v>
      </c>
      <c r="BT102" s="515">
        <f t="shared" si="14"/>
        <v>10100</v>
      </c>
      <c r="BU102" s="503"/>
      <c r="BV102" s="501"/>
      <c r="BW102" s="504"/>
    </row>
    <row r="103" spans="1:75" ht="36">
      <c r="A103" s="519" t="s">
        <v>49</v>
      </c>
      <c r="B103" s="520">
        <v>31</v>
      </c>
      <c r="C103" s="520" t="s">
        <v>22</v>
      </c>
      <c r="D103" s="521">
        <v>4224</v>
      </c>
      <c r="E103" s="522" t="s">
        <v>73</v>
      </c>
      <c r="F103" s="523" t="s">
        <v>686</v>
      </c>
      <c r="G103" s="497">
        <f t="shared" si="12"/>
        <v>259500</v>
      </c>
      <c r="H103" s="498">
        <f t="shared" si="12"/>
        <v>239700</v>
      </c>
      <c r="I103" s="499">
        <f t="shared" si="12"/>
        <v>295400</v>
      </c>
      <c r="J103" s="500"/>
      <c r="K103" s="501"/>
      <c r="L103" s="502"/>
      <c r="M103" s="503">
        <v>20000</v>
      </c>
      <c r="N103" s="501">
        <v>20200</v>
      </c>
      <c r="O103" s="504">
        <v>20400</v>
      </c>
      <c r="P103" s="500">
        <v>23500</v>
      </c>
      <c r="Q103" s="501">
        <v>33500</v>
      </c>
      <c r="R103" s="502">
        <v>33500</v>
      </c>
      <c r="S103" s="503"/>
      <c r="T103" s="501"/>
      <c r="U103" s="504"/>
      <c r="V103" s="500"/>
      <c r="W103" s="501"/>
      <c r="X103" s="502"/>
      <c r="Y103" s="505">
        <f t="shared" si="13"/>
        <v>43500</v>
      </c>
      <c r="Z103" s="506">
        <f t="shared" si="13"/>
        <v>53700</v>
      </c>
      <c r="AA103" s="507">
        <f t="shared" si="13"/>
        <v>53900</v>
      </c>
      <c r="AB103" s="500"/>
      <c r="AC103" s="501"/>
      <c r="AD103" s="502"/>
      <c r="AE103" s="503"/>
      <c r="AF103" s="501"/>
      <c r="AG103" s="504"/>
      <c r="AH103" s="500">
        <v>100000</v>
      </c>
      <c r="AI103" s="501">
        <v>60000</v>
      </c>
      <c r="AJ103" s="502">
        <v>100000</v>
      </c>
      <c r="AK103" s="503">
        <v>101000</v>
      </c>
      <c r="AL103" s="501">
        <v>111000</v>
      </c>
      <c r="AM103" s="504">
        <v>126500</v>
      </c>
      <c r="AN103" s="500"/>
      <c r="AO103" s="501"/>
      <c r="AP103" s="502"/>
      <c r="AQ103" s="503"/>
      <c r="AR103" s="501"/>
      <c r="AS103" s="504"/>
      <c r="AT103" s="500"/>
      <c r="AU103" s="501"/>
      <c r="AV103" s="502"/>
      <c r="AW103" s="503"/>
      <c r="AX103" s="501"/>
      <c r="AY103" s="504"/>
      <c r="AZ103" s="500"/>
      <c r="BA103" s="501"/>
      <c r="BB103" s="502"/>
      <c r="BC103" s="503"/>
      <c r="BD103" s="501"/>
      <c r="BE103" s="504"/>
      <c r="BF103" s="500">
        <v>15000</v>
      </c>
      <c r="BG103" s="501">
        <v>15000</v>
      </c>
      <c r="BH103" s="502">
        <v>15000</v>
      </c>
      <c r="BI103" s="503"/>
      <c r="BJ103" s="501"/>
      <c r="BK103" s="504"/>
      <c r="BL103" s="500"/>
      <c r="BM103" s="501"/>
      <c r="BN103" s="502"/>
      <c r="BO103" s="503"/>
      <c r="BP103" s="501"/>
      <c r="BQ103" s="504"/>
      <c r="BR103" s="513">
        <f t="shared" si="14"/>
        <v>259500</v>
      </c>
      <c r="BS103" s="514">
        <f t="shared" si="14"/>
        <v>239700</v>
      </c>
      <c r="BT103" s="515">
        <f t="shared" si="14"/>
        <v>295400</v>
      </c>
      <c r="BU103" s="503"/>
      <c r="BV103" s="501"/>
      <c r="BW103" s="504"/>
    </row>
    <row r="104" spans="1:75" ht="24">
      <c r="A104" s="519" t="s">
        <v>49</v>
      </c>
      <c r="B104" s="520">
        <v>31</v>
      </c>
      <c r="C104" s="520" t="s">
        <v>22</v>
      </c>
      <c r="D104" s="521">
        <v>4225</v>
      </c>
      <c r="E104" s="522" t="s">
        <v>85</v>
      </c>
      <c r="F104" s="523" t="s">
        <v>686</v>
      </c>
      <c r="G104" s="497">
        <f t="shared" si="12"/>
        <v>10100</v>
      </c>
      <c r="H104" s="498">
        <f t="shared" si="12"/>
        <v>15100</v>
      </c>
      <c r="I104" s="499">
        <f t="shared" si="12"/>
        <v>15100</v>
      </c>
      <c r="J104" s="500"/>
      <c r="K104" s="501"/>
      <c r="L104" s="502"/>
      <c r="M104" s="503"/>
      <c r="N104" s="501"/>
      <c r="O104" s="504"/>
      <c r="P104" s="500">
        <v>10100</v>
      </c>
      <c r="Q104" s="501">
        <v>15100</v>
      </c>
      <c r="R104" s="502">
        <v>15100</v>
      </c>
      <c r="S104" s="503"/>
      <c r="T104" s="501"/>
      <c r="U104" s="504"/>
      <c r="V104" s="500"/>
      <c r="W104" s="501"/>
      <c r="X104" s="502"/>
      <c r="Y104" s="505">
        <f t="shared" si="13"/>
        <v>10100</v>
      </c>
      <c r="Z104" s="506">
        <f t="shared" si="13"/>
        <v>15100</v>
      </c>
      <c r="AA104" s="507">
        <f t="shared" si="13"/>
        <v>15100</v>
      </c>
      <c r="AB104" s="500"/>
      <c r="AC104" s="501"/>
      <c r="AD104" s="502"/>
      <c r="AE104" s="503"/>
      <c r="AF104" s="501"/>
      <c r="AG104" s="504"/>
      <c r="AH104" s="500"/>
      <c r="AI104" s="501"/>
      <c r="AJ104" s="502"/>
      <c r="AK104" s="503"/>
      <c r="AL104" s="501"/>
      <c r="AM104" s="504"/>
      <c r="AN104" s="500"/>
      <c r="AO104" s="501"/>
      <c r="AP104" s="502"/>
      <c r="AQ104" s="503"/>
      <c r="AR104" s="501"/>
      <c r="AS104" s="504"/>
      <c r="AT104" s="500"/>
      <c r="AU104" s="501"/>
      <c r="AV104" s="502"/>
      <c r="AW104" s="503"/>
      <c r="AX104" s="501"/>
      <c r="AY104" s="504"/>
      <c r="AZ104" s="500"/>
      <c r="BA104" s="501"/>
      <c r="BB104" s="502"/>
      <c r="BC104" s="503"/>
      <c r="BD104" s="501"/>
      <c r="BE104" s="504"/>
      <c r="BF104" s="500"/>
      <c r="BG104" s="501"/>
      <c r="BH104" s="502"/>
      <c r="BI104" s="503"/>
      <c r="BJ104" s="501"/>
      <c r="BK104" s="504"/>
      <c r="BL104" s="500"/>
      <c r="BM104" s="501"/>
      <c r="BN104" s="502"/>
      <c r="BO104" s="503"/>
      <c r="BP104" s="501"/>
      <c r="BQ104" s="504"/>
      <c r="BR104" s="513">
        <f t="shared" si="14"/>
        <v>10100</v>
      </c>
      <c r="BS104" s="514">
        <f t="shared" si="14"/>
        <v>15100</v>
      </c>
      <c r="BT104" s="515">
        <f t="shared" si="14"/>
        <v>15100</v>
      </c>
      <c r="BU104" s="503"/>
      <c r="BV104" s="501"/>
      <c r="BW104" s="504"/>
    </row>
    <row r="105" spans="1:75" ht="36">
      <c r="A105" s="519" t="s">
        <v>49</v>
      </c>
      <c r="B105" s="520">
        <v>31</v>
      </c>
      <c r="C105" s="520" t="s">
        <v>22</v>
      </c>
      <c r="D105" s="521">
        <v>4227</v>
      </c>
      <c r="E105" s="522" t="s">
        <v>93</v>
      </c>
      <c r="F105" s="523" t="s">
        <v>686</v>
      </c>
      <c r="G105" s="497">
        <f t="shared" si="12"/>
        <v>10000</v>
      </c>
      <c r="H105" s="498">
        <f t="shared" si="12"/>
        <v>10000</v>
      </c>
      <c r="I105" s="499">
        <f t="shared" si="12"/>
        <v>10000</v>
      </c>
      <c r="J105" s="500"/>
      <c r="K105" s="501"/>
      <c r="L105" s="502"/>
      <c r="M105" s="503"/>
      <c r="N105" s="501"/>
      <c r="O105" s="504"/>
      <c r="P105" s="500"/>
      <c r="Q105" s="501"/>
      <c r="R105" s="502"/>
      <c r="S105" s="503"/>
      <c r="T105" s="501"/>
      <c r="U105" s="504"/>
      <c r="V105" s="500"/>
      <c r="W105" s="501"/>
      <c r="X105" s="502"/>
      <c r="Y105" s="505">
        <f t="shared" si="13"/>
        <v>0</v>
      </c>
      <c r="Z105" s="506">
        <f t="shared" si="13"/>
        <v>0</v>
      </c>
      <c r="AA105" s="507">
        <f t="shared" si="13"/>
        <v>0</v>
      </c>
      <c r="AB105" s="500"/>
      <c r="AC105" s="501"/>
      <c r="AD105" s="502"/>
      <c r="AE105" s="503"/>
      <c r="AF105" s="501"/>
      <c r="AG105" s="504"/>
      <c r="AH105" s="500"/>
      <c r="AI105" s="501"/>
      <c r="AJ105" s="502"/>
      <c r="AK105" s="503"/>
      <c r="AL105" s="501"/>
      <c r="AM105" s="504"/>
      <c r="AN105" s="500"/>
      <c r="AO105" s="501"/>
      <c r="AP105" s="502"/>
      <c r="AQ105" s="503"/>
      <c r="AR105" s="501"/>
      <c r="AS105" s="504"/>
      <c r="AT105" s="500"/>
      <c r="AU105" s="501"/>
      <c r="AV105" s="502"/>
      <c r="AW105" s="503"/>
      <c r="AX105" s="501"/>
      <c r="AY105" s="504"/>
      <c r="AZ105" s="500"/>
      <c r="BA105" s="501"/>
      <c r="BB105" s="502"/>
      <c r="BC105" s="503"/>
      <c r="BD105" s="501"/>
      <c r="BE105" s="504"/>
      <c r="BF105" s="500">
        <v>10000</v>
      </c>
      <c r="BG105" s="501">
        <v>10000</v>
      </c>
      <c r="BH105" s="502">
        <v>10000</v>
      </c>
      <c r="BI105" s="503"/>
      <c r="BJ105" s="501"/>
      <c r="BK105" s="504"/>
      <c r="BL105" s="500"/>
      <c r="BM105" s="501"/>
      <c r="BN105" s="502"/>
      <c r="BO105" s="503"/>
      <c r="BP105" s="501"/>
      <c r="BQ105" s="504"/>
      <c r="BR105" s="513">
        <f t="shared" si="14"/>
        <v>10000</v>
      </c>
      <c r="BS105" s="514">
        <f t="shared" si="14"/>
        <v>10000</v>
      </c>
      <c r="BT105" s="515">
        <f t="shared" si="14"/>
        <v>10000</v>
      </c>
      <c r="BU105" s="503"/>
      <c r="BV105" s="501"/>
      <c r="BW105" s="504"/>
    </row>
    <row r="106" spans="1:75" ht="24">
      <c r="A106" s="519" t="s">
        <v>49</v>
      </c>
      <c r="B106" s="520">
        <v>31</v>
      </c>
      <c r="C106" s="520" t="s">
        <v>22</v>
      </c>
      <c r="D106" s="521">
        <v>4241</v>
      </c>
      <c r="E106" s="522" t="s">
        <v>74</v>
      </c>
      <c r="F106" s="523" t="s">
        <v>686</v>
      </c>
      <c r="G106" s="497">
        <f t="shared" si="12"/>
        <v>35700</v>
      </c>
      <c r="H106" s="498">
        <f t="shared" si="12"/>
        <v>71750</v>
      </c>
      <c r="I106" s="499">
        <f t="shared" si="12"/>
        <v>89800</v>
      </c>
      <c r="J106" s="500"/>
      <c r="K106" s="501"/>
      <c r="L106" s="502"/>
      <c r="M106" s="503">
        <v>1000</v>
      </c>
      <c r="N106" s="501">
        <v>1050</v>
      </c>
      <c r="O106" s="504">
        <v>1100</v>
      </c>
      <c r="P106" s="500"/>
      <c r="Q106" s="501"/>
      <c r="R106" s="502"/>
      <c r="S106" s="503"/>
      <c r="T106" s="501"/>
      <c r="U106" s="504"/>
      <c r="V106" s="500"/>
      <c r="W106" s="501"/>
      <c r="X106" s="502"/>
      <c r="Y106" s="505">
        <f t="shared" si="13"/>
        <v>1000</v>
      </c>
      <c r="Z106" s="506">
        <f t="shared" si="13"/>
        <v>1050</v>
      </c>
      <c r="AA106" s="507">
        <f t="shared" si="13"/>
        <v>1100</v>
      </c>
      <c r="AB106" s="500"/>
      <c r="AC106" s="501"/>
      <c r="AD106" s="502"/>
      <c r="AE106" s="503"/>
      <c r="AF106" s="501"/>
      <c r="AG106" s="504"/>
      <c r="AH106" s="500"/>
      <c r="AI106" s="501"/>
      <c r="AJ106" s="502"/>
      <c r="AK106" s="503"/>
      <c r="AL106" s="501"/>
      <c r="AM106" s="504"/>
      <c r="AN106" s="500"/>
      <c r="AO106" s="501"/>
      <c r="AP106" s="502"/>
      <c r="AQ106" s="503"/>
      <c r="AR106" s="501"/>
      <c r="AS106" s="504"/>
      <c r="AT106" s="500"/>
      <c r="AU106" s="501"/>
      <c r="AV106" s="502"/>
      <c r="AW106" s="503"/>
      <c r="AX106" s="501"/>
      <c r="AY106" s="504"/>
      <c r="AZ106" s="500"/>
      <c r="BA106" s="501"/>
      <c r="BB106" s="502"/>
      <c r="BC106" s="503"/>
      <c r="BD106" s="501"/>
      <c r="BE106" s="504"/>
      <c r="BF106" s="500">
        <v>21700</v>
      </c>
      <c r="BG106" s="501">
        <v>21700</v>
      </c>
      <c r="BH106" s="502">
        <v>21700</v>
      </c>
      <c r="BI106" s="503">
        <v>13000</v>
      </c>
      <c r="BJ106" s="501">
        <v>49000</v>
      </c>
      <c r="BK106" s="504">
        <v>67000</v>
      </c>
      <c r="BL106" s="500"/>
      <c r="BM106" s="501"/>
      <c r="BN106" s="502"/>
      <c r="BO106" s="503"/>
      <c r="BP106" s="501"/>
      <c r="BQ106" s="504"/>
      <c r="BR106" s="513">
        <f t="shared" si="14"/>
        <v>35700</v>
      </c>
      <c r="BS106" s="514">
        <f t="shared" si="14"/>
        <v>71750</v>
      </c>
      <c r="BT106" s="515">
        <f t="shared" si="14"/>
        <v>89800</v>
      </c>
      <c r="BU106" s="503"/>
      <c r="BV106" s="501"/>
      <c r="BW106" s="504"/>
    </row>
    <row r="107" spans="1:75" ht="24.75" thickBot="1">
      <c r="A107" s="524" t="s">
        <v>49</v>
      </c>
      <c r="B107" s="525">
        <v>31</v>
      </c>
      <c r="C107" s="525" t="s">
        <v>22</v>
      </c>
      <c r="D107" s="526">
        <v>4262</v>
      </c>
      <c r="E107" s="527" t="s">
        <v>86</v>
      </c>
      <c r="F107" s="528" t="s">
        <v>686</v>
      </c>
      <c r="G107" s="529">
        <f t="shared" si="12"/>
        <v>15000</v>
      </c>
      <c r="H107" s="530">
        <f t="shared" si="12"/>
        <v>15000</v>
      </c>
      <c r="I107" s="531">
        <f t="shared" si="12"/>
        <v>15000</v>
      </c>
      <c r="J107" s="532"/>
      <c r="K107" s="533"/>
      <c r="L107" s="534"/>
      <c r="M107" s="535"/>
      <c r="N107" s="533"/>
      <c r="O107" s="536"/>
      <c r="P107" s="532"/>
      <c r="Q107" s="533"/>
      <c r="R107" s="534"/>
      <c r="S107" s="535"/>
      <c r="T107" s="533"/>
      <c r="U107" s="536"/>
      <c r="V107" s="532"/>
      <c r="W107" s="533"/>
      <c r="X107" s="534"/>
      <c r="Y107" s="537">
        <f t="shared" si="13"/>
        <v>0</v>
      </c>
      <c r="Z107" s="538">
        <f t="shared" si="13"/>
        <v>0</v>
      </c>
      <c r="AA107" s="539">
        <f t="shared" si="13"/>
        <v>0</v>
      </c>
      <c r="AB107" s="532"/>
      <c r="AC107" s="533"/>
      <c r="AD107" s="534"/>
      <c r="AE107" s="535"/>
      <c r="AF107" s="533"/>
      <c r="AG107" s="536"/>
      <c r="AH107" s="532"/>
      <c r="AI107" s="533"/>
      <c r="AJ107" s="534"/>
      <c r="AK107" s="535"/>
      <c r="AL107" s="533"/>
      <c r="AM107" s="536"/>
      <c r="AN107" s="532"/>
      <c r="AO107" s="533"/>
      <c r="AP107" s="534"/>
      <c r="AQ107" s="535"/>
      <c r="AR107" s="533"/>
      <c r="AS107" s="536"/>
      <c r="AT107" s="532"/>
      <c r="AU107" s="533"/>
      <c r="AV107" s="534"/>
      <c r="AW107" s="535"/>
      <c r="AX107" s="533"/>
      <c r="AY107" s="536"/>
      <c r="AZ107" s="532"/>
      <c r="BA107" s="533"/>
      <c r="BB107" s="534"/>
      <c r="BC107" s="535"/>
      <c r="BD107" s="533"/>
      <c r="BE107" s="536"/>
      <c r="BF107" s="532">
        <v>15000</v>
      </c>
      <c r="BG107" s="533">
        <v>15000</v>
      </c>
      <c r="BH107" s="534">
        <v>15000</v>
      </c>
      <c r="BI107" s="535"/>
      <c r="BJ107" s="533"/>
      <c r="BK107" s="536"/>
      <c r="BL107" s="532"/>
      <c r="BM107" s="533"/>
      <c r="BN107" s="534"/>
      <c r="BO107" s="535"/>
      <c r="BP107" s="533"/>
      <c r="BQ107" s="536"/>
      <c r="BR107" s="546">
        <f t="shared" si="14"/>
        <v>15000</v>
      </c>
      <c r="BS107" s="547">
        <f t="shared" si="14"/>
        <v>15000</v>
      </c>
      <c r="BT107" s="548">
        <f t="shared" si="14"/>
        <v>15000</v>
      </c>
      <c r="BU107" s="535"/>
      <c r="BV107" s="533"/>
      <c r="BW107" s="536"/>
    </row>
    <row r="108" spans="1:75" s="598" customFormat="1" ht="12.75" thickBot="1">
      <c r="A108" s="588" t="s">
        <v>49</v>
      </c>
      <c r="B108" s="589">
        <v>31</v>
      </c>
      <c r="C108" s="589" t="s">
        <v>22</v>
      </c>
      <c r="D108" s="590"/>
      <c r="E108" s="591" t="s">
        <v>161</v>
      </c>
      <c r="F108" s="592" t="s">
        <v>686</v>
      </c>
      <c r="G108" s="593">
        <f t="shared" ref="G108:AL108" si="15">SUM(G64:G107)</f>
        <v>42634730</v>
      </c>
      <c r="H108" s="594">
        <f t="shared" si="15"/>
        <v>41864196</v>
      </c>
      <c r="I108" s="595">
        <f t="shared" si="15"/>
        <v>41976300</v>
      </c>
      <c r="J108" s="596">
        <f t="shared" si="15"/>
        <v>447500</v>
      </c>
      <c r="K108" s="594">
        <f t="shared" si="15"/>
        <v>555000</v>
      </c>
      <c r="L108" s="597">
        <f t="shared" si="15"/>
        <v>663000</v>
      </c>
      <c r="M108" s="593">
        <f t="shared" si="15"/>
        <v>894900</v>
      </c>
      <c r="N108" s="594">
        <f t="shared" si="15"/>
        <v>904740</v>
      </c>
      <c r="O108" s="595">
        <f t="shared" si="15"/>
        <v>913500</v>
      </c>
      <c r="P108" s="596">
        <f t="shared" si="15"/>
        <v>75100</v>
      </c>
      <c r="Q108" s="594">
        <f t="shared" si="15"/>
        <v>100100</v>
      </c>
      <c r="R108" s="597">
        <f t="shared" si="15"/>
        <v>100100</v>
      </c>
      <c r="S108" s="593">
        <f t="shared" si="15"/>
        <v>4585</v>
      </c>
      <c r="T108" s="594">
        <f t="shared" si="15"/>
        <v>4682</v>
      </c>
      <c r="U108" s="595">
        <f t="shared" si="15"/>
        <v>4718</v>
      </c>
      <c r="V108" s="596">
        <f t="shared" si="15"/>
        <v>13000</v>
      </c>
      <c r="W108" s="594">
        <f t="shared" si="15"/>
        <v>13200</v>
      </c>
      <c r="X108" s="597">
        <f t="shared" si="15"/>
        <v>13200</v>
      </c>
      <c r="Y108" s="593">
        <f t="shared" si="15"/>
        <v>1435085</v>
      </c>
      <c r="Z108" s="594">
        <f t="shared" si="15"/>
        <v>1577722</v>
      </c>
      <c r="AA108" s="595">
        <f t="shared" si="15"/>
        <v>1694518</v>
      </c>
      <c r="AB108" s="596">
        <f t="shared" si="15"/>
        <v>180000</v>
      </c>
      <c r="AC108" s="594">
        <f t="shared" si="15"/>
        <v>180000</v>
      </c>
      <c r="AD108" s="597">
        <f t="shared" si="15"/>
        <v>180000</v>
      </c>
      <c r="AE108" s="593">
        <f t="shared" si="15"/>
        <v>2132000</v>
      </c>
      <c r="AF108" s="594">
        <f t="shared" si="15"/>
        <v>2022000</v>
      </c>
      <c r="AG108" s="595">
        <f t="shared" si="15"/>
        <v>1911000</v>
      </c>
      <c r="AH108" s="596">
        <f t="shared" si="15"/>
        <v>3127993</v>
      </c>
      <c r="AI108" s="594">
        <f t="shared" si="15"/>
        <v>3042740</v>
      </c>
      <c r="AJ108" s="597">
        <f t="shared" si="15"/>
        <v>3071324</v>
      </c>
      <c r="AK108" s="593">
        <f t="shared" si="15"/>
        <v>101000</v>
      </c>
      <c r="AL108" s="594">
        <f t="shared" si="15"/>
        <v>111000</v>
      </c>
      <c r="AM108" s="595">
        <f t="shared" ref="AM108:BW108" si="16">SUM(AM64:AM107)</f>
        <v>126500</v>
      </c>
      <c r="AN108" s="596">
        <f t="shared" si="16"/>
        <v>1331000</v>
      </c>
      <c r="AO108" s="594">
        <f t="shared" si="16"/>
        <v>1331000</v>
      </c>
      <c r="AP108" s="597">
        <f t="shared" si="16"/>
        <v>1331000</v>
      </c>
      <c r="AQ108" s="593">
        <f t="shared" si="16"/>
        <v>4689500</v>
      </c>
      <c r="AR108" s="594">
        <f t="shared" si="16"/>
        <v>4708825</v>
      </c>
      <c r="AS108" s="595">
        <f t="shared" si="16"/>
        <v>4727950</v>
      </c>
      <c r="AT108" s="596">
        <f t="shared" si="16"/>
        <v>975347</v>
      </c>
      <c r="AU108" s="594">
        <f t="shared" si="16"/>
        <v>985104</v>
      </c>
      <c r="AV108" s="597">
        <f t="shared" si="16"/>
        <v>994953</v>
      </c>
      <c r="AW108" s="593">
        <f t="shared" si="16"/>
        <v>1181450</v>
      </c>
      <c r="AX108" s="594">
        <f t="shared" si="16"/>
        <v>1241600</v>
      </c>
      <c r="AY108" s="595">
        <f t="shared" si="16"/>
        <v>1241650</v>
      </c>
      <c r="AZ108" s="596">
        <f t="shared" si="16"/>
        <v>130155</v>
      </c>
      <c r="BA108" s="594">
        <f t="shared" si="16"/>
        <v>116005</v>
      </c>
      <c r="BB108" s="597">
        <f t="shared" si="16"/>
        <v>118005</v>
      </c>
      <c r="BC108" s="593">
        <f t="shared" si="16"/>
        <v>100</v>
      </c>
      <c r="BD108" s="594">
        <f t="shared" si="16"/>
        <v>100</v>
      </c>
      <c r="BE108" s="595">
        <f t="shared" si="16"/>
        <v>100</v>
      </c>
      <c r="BF108" s="596">
        <f t="shared" si="16"/>
        <v>1114000</v>
      </c>
      <c r="BG108" s="594">
        <f t="shared" si="16"/>
        <v>1159000</v>
      </c>
      <c r="BH108" s="597">
        <f t="shared" si="16"/>
        <v>1139000</v>
      </c>
      <c r="BI108" s="593">
        <f t="shared" si="16"/>
        <v>708000</v>
      </c>
      <c r="BJ108" s="594">
        <f t="shared" si="16"/>
        <v>754000</v>
      </c>
      <c r="BK108" s="595">
        <f t="shared" si="16"/>
        <v>809000</v>
      </c>
      <c r="BL108" s="596">
        <f t="shared" si="16"/>
        <v>1519100</v>
      </c>
      <c r="BM108" s="594">
        <f t="shared" si="16"/>
        <v>620100</v>
      </c>
      <c r="BN108" s="597">
        <f t="shared" si="16"/>
        <v>616300</v>
      </c>
      <c r="BO108" s="593">
        <f t="shared" si="16"/>
        <v>80000</v>
      </c>
      <c r="BP108" s="594">
        <f t="shared" si="16"/>
        <v>85000</v>
      </c>
      <c r="BQ108" s="595">
        <f t="shared" si="16"/>
        <v>85000</v>
      </c>
      <c r="BR108" s="596">
        <f t="shared" si="16"/>
        <v>18704730</v>
      </c>
      <c r="BS108" s="594">
        <f t="shared" si="16"/>
        <v>17934196</v>
      </c>
      <c r="BT108" s="597">
        <f t="shared" si="16"/>
        <v>18046300</v>
      </c>
      <c r="BU108" s="593">
        <f t="shared" si="16"/>
        <v>23930000</v>
      </c>
      <c r="BV108" s="594">
        <f t="shared" si="16"/>
        <v>23930000</v>
      </c>
      <c r="BW108" s="595">
        <f t="shared" si="16"/>
        <v>23930000</v>
      </c>
    </row>
    <row r="109" spans="1:75" ht="36">
      <c r="A109" s="470" t="s">
        <v>49</v>
      </c>
      <c r="B109" s="471">
        <v>43</v>
      </c>
      <c r="C109" s="471" t="s">
        <v>27</v>
      </c>
      <c r="D109" s="472">
        <v>3111</v>
      </c>
      <c r="E109" s="473" t="s">
        <v>50</v>
      </c>
      <c r="F109" s="474" t="s">
        <v>686</v>
      </c>
      <c r="G109" s="564">
        <f t="shared" ref="G109:I140" si="17">BR109+BU109</f>
        <v>27240923</v>
      </c>
      <c r="H109" s="565">
        <f t="shared" si="17"/>
        <v>29260588</v>
      </c>
      <c r="I109" s="566">
        <f t="shared" si="17"/>
        <v>29511893</v>
      </c>
      <c r="J109" s="567"/>
      <c r="K109" s="568"/>
      <c r="L109" s="569"/>
      <c r="M109" s="570">
        <v>187000</v>
      </c>
      <c r="N109" s="568">
        <v>115000</v>
      </c>
      <c r="O109" s="571">
        <v>116260</v>
      </c>
      <c r="P109" s="567"/>
      <c r="Q109" s="568"/>
      <c r="R109" s="569"/>
      <c r="S109" s="570">
        <v>98800</v>
      </c>
      <c r="T109" s="568"/>
      <c r="U109" s="571"/>
      <c r="V109" s="567">
        <v>165000</v>
      </c>
      <c r="W109" s="568">
        <v>260000</v>
      </c>
      <c r="X109" s="569">
        <v>260000</v>
      </c>
      <c r="Y109" s="572">
        <f t="shared" ref="Y109:AA140" si="18">J109+M109+P109+S109+V109</f>
        <v>450800</v>
      </c>
      <c r="Z109" s="573">
        <f t="shared" si="18"/>
        <v>375000</v>
      </c>
      <c r="AA109" s="574">
        <f t="shared" si="18"/>
        <v>376260</v>
      </c>
      <c r="AB109" s="567"/>
      <c r="AC109" s="568"/>
      <c r="AD109" s="569"/>
      <c r="AE109" s="570">
        <v>420000</v>
      </c>
      <c r="AF109" s="568">
        <v>420000</v>
      </c>
      <c r="AG109" s="571">
        <v>420000</v>
      </c>
      <c r="AH109" s="567">
        <f>580000-200000</f>
        <v>380000</v>
      </c>
      <c r="AI109" s="568">
        <v>410000</v>
      </c>
      <c r="AJ109" s="569">
        <v>307000</v>
      </c>
      <c r="AK109" s="570">
        <v>782185</v>
      </c>
      <c r="AL109" s="568">
        <v>785258</v>
      </c>
      <c r="AM109" s="571">
        <v>785258</v>
      </c>
      <c r="AN109" s="567">
        <f>1600000-174000</f>
        <v>1426000</v>
      </c>
      <c r="AO109" s="568">
        <v>1600000</v>
      </c>
      <c r="AP109" s="569">
        <v>1600000</v>
      </c>
      <c r="AQ109" s="570">
        <f>800000-620000</f>
        <v>180000</v>
      </c>
      <c r="AR109" s="568">
        <f>810000-758000</f>
        <v>52000</v>
      </c>
      <c r="AS109" s="571">
        <f>815000-758000</f>
        <v>57000</v>
      </c>
      <c r="AT109" s="567">
        <f>925000-200000</f>
        <v>725000</v>
      </c>
      <c r="AU109" s="568">
        <v>943500</v>
      </c>
      <c r="AV109" s="569">
        <v>943500</v>
      </c>
      <c r="AW109" s="570">
        <f>1530000-270000-500000</f>
        <v>760000</v>
      </c>
      <c r="AX109" s="568">
        <v>1350000</v>
      </c>
      <c r="AY109" s="571">
        <v>1300000</v>
      </c>
      <c r="AZ109" s="567"/>
      <c r="BA109" s="568"/>
      <c r="BB109" s="569"/>
      <c r="BC109" s="570">
        <f>30000-30000</f>
        <v>0</v>
      </c>
      <c r="BD109" s="568">
        <v>30630</v>
      </c>
      <c r="BE109" s="571">
        <v>30875</v>
      </c>
      <c r="BF109" s="567">
        <v>484988</v>
      </c>
      <c r="BG109" s="568">
        <v>500000</v>
      </c>
      <c r="BH109" s="569">
        <v>650000</v>
      </c>
      <c r="BI109" s="570">
        <f>6685850-1491000</f>
        <v>5194850</v>
      </c>
      <c r="BJ109" s="568">
        <v>6694200</v>
      </c>
      <c r="BK109" s="571">
        <v>6942000</v>
      </c>
      <c r="BL109" s="567">
        <f>1261874-624774</f>
        <v>637100</v>
      </c>
      <c r="BM109" s="568">
        <f>1000000-700000</f>
        <v>300000</v>
      </c>
      <c r="BN109" s="569">
        <f>1000000-700000</f>
        <v>300000</v>
      </c>
      <c r="BO109" s="570"/>
      <c r="BP109" s="568"/>
      <c r="BQ109" s="571"/>
      <c r="BR109" s="575">
        <f t="shared" ref="BR109:BT140" si="19">AB109+AE109+AH109+AK109+AN109+AQ109+AT109+AW109+AZ109+BC109+BF109+BI109+BL109+BO109+Y109</f>
        <v>11440923</v>
      </c>
      <c r="BS109" s="576">
        <f t="shared" si="19"/>
        <v>13460588</v>
      </c>
      <c r="BT109" s="577">
        <f t="shared" si="19"/>
        <v>13711893</v>
      </c>
      <c r="BU109" s="570">
        <v>15800000</v>
      </c>
      <c r="BV109" s="568">
        <v>15800000</v>
      </c>
      <c r="BW109" s="571">
        <v>15800000</v>
      </c>
    </row>
    <row r="110" spans="1:75" ht="36">
      <c r="A110" s="519" t="s">
        <v>49</v>
      </c>
      <c r="B110" s="520">
        <v>43</v>
      </c>
      <c r="C110" s="520" t="s">
        <v>27</v>
      </c>
      <c r="D110" s="521">
        <v>3121</v>
      </c>
      <c r="E110" s="522" t="s">
        <v>51</v>
      </c>
      <c r="F110" s="523" t="s">
        <v>686</v>
      </c>
      <c r="G110" s="497">
        <f t="shared" si="17"/>
        <v>6819133</v>
      </c>
      <c r="H110" s="498">
        <f t="shared" si="17"/>
        <v>6652614</v>
      </c>
      <c r="I110" s="499">
        <f t="shared" si="17"/>
        <v>6200670</v>
      </c>
      <c r="J110" s="500">
        <v>15000</v>
      </c>
      <c r="K110" s="501">
        <v>15000</v>
      </c>
      <c r="L110" s="502">
        <v>15000</v>
      </c>
      <c r="M110" s="503">
        <v>49500</v>
      </c>
      <c r="N110" s="501">
        <v>50000</v>
      </c>
      <c r="O110" s="504">
        <v>51500</v>
      </c>
      <c r="P110" s="500"/>
      <c r="Q110" s="501"/>
      <c r="R110" s="502"/>
      <c r="S110" s="503">
        <v>37500</v>
      </c>
      <c r="T110" s="501">
        <v>37500</v>
      </c>
      <c r="U110" s="504">
        <v>33000</v>
      </c>
      <c r="V110" s="500">
        <v>496500</v>
      </c>
      <c r="W110" s="501">
        <v>520000</v>
      </c>
      <c r="X110" s="502">
        <v>520000</v>
      </c>
      <c r="Y110" s="505">
        <f t="shared" si="18"/>
        <v>598500</v>
      </c>
      <c r="Z110" s="506">
        <f t="shared" si="18"/>
        <v>622500</v>
      </c>
      <c r="AA110" s="507">
        <f t="shared" si="18"/>
        <v>619500</v>
      </c>
      <c r="AB110" s="500"/>
      <c r="AC110" s="501"/>
      <c r="AD110" s="502"/>
      <c r="AE110" s="503">
        <v>4400000</v>
      </c>
      <c r="AF110" s="501">
        <v>4200000</v>
      </c>
      <c r="AG110" s="504">
        <v>3700000</v>
      </c>
      <c r="AH110" s="500">
        <v>60000</v>
      </c>
      <c r="AI110" s="501">
        <v>55000</v>
      </c>
      <c r="AJ110" s="502">
        <v>35000</v>
      </c>
      <c r="AK110" s="503">
        <v>88000</v>
      </c>
      <c r="AL110" s="501">
        <v>90000</v>
      </c>
      <c r="AM110" s="504">
        <v>92000</v>
      </c>
      <c r="AN110" s="500">
        <v>230000</v>
      </c>
      <c r="AO110" s="501">
        <v>230000</v>
      </c>
      <c r="AP110" s="502">
        <v>230000</v>
      </c>
      <c r="AQ110" s="503">
        <v>223000</v>
      </c>
      <c r="AR110" s="501">
        <v>223000</v>
      </c>
      <c r="AS110" s="504">
        <v>223000</v>
      </c>
      <c r="AT110" s="500">
        <v>142000</v>
      </c>
      <c r="AU110" s="501">
        <v>144840</v>
      </c>
      <c r="AV110" s="502">
        <v>144840</v>
      </c>
      <c r="AW110" s="503">
        <v>100000</v>
      </c>
      <c r="AX110" s="501">
        <v>100000</v>
      </c>
      <c r="AY110" s="504">
        <v>100000</v>
      </c>
      <c r="AZ110" s="500"/>
      <c r="BA110" s="501"/>
      <c r="BB110" s="502"/>
      <c r="BC110" s="503">
        <v>50000</v>
      </c>
      <c r="BD110" s="501">
        <v>51050</v>
      </c>
      <c r="BE110" s="504">
        <v>51459</v>
      </c>
      <c r="BF110" s="500">
        <v>125000</v>
      </c>
      <c r="BG110" s="501">
        <v>130000</v>
      </c>
      <c r="BH110" s="502">
        <v>200000</v>
      </c>
      <c r="BI110" s="503">
        <v>664133</v>
      </c>
      <c r="BJ110" s="501">
        <v>663224</v>
      </c>
      <c r="BK110" s="504">
        <v>661871</v>
      </c>
      <c r="BL110" s="500">
        <v>28500</v>
      </c>
      <c r="BM110" s="501">
        <v>23000</v>
      </c>
      <c r="BN110" s="502">
        <v>23000</v>
      </c>
      <c r="BO110" s="503">
        <v>110000</v>
      </c>
      <c r="BP110" s="501">
        <v>120000</v>
      </c>
      <c r="BQ110" s="504">
        <v>120000</v>
      </c>
      <c r="BR110" s="513">
        <f t="shared" si="19"/>
        <v>6819133</v>
      </c>
      <c r="BS110" s="514">
        <f t="shared" si="19"/>
        <v>6652614</v>
      </c>
      <c r="BT110" s="515">
        <f t="shared" si="19"/>
        <v>6200670</v>
      </c>
      <c r="BU110" s="516"/>
      <c r="BV110" s="517"/>
      <c r="BW110" s="518"/>
    </row>
    <row r="111" spans="1:75" ht="36">
      <c r="A111" s="519" t="s">
        <v>49</v>
      </c>
      <c r="B111" s="520">
        <v>43</v>
      </c>
      <c r="C111" s="520" t="s">
        <v>27</v>
      </c>
      <c r="D111" s="521">
        <v>3132</v>
      </c>
      <c r="E111" s="522" t="s">
        <v>52</v>
      </c>
      <c r="F111" s="523" t="s">
        <v>686</v>
      </c>
      <c r="G111" s="497">
        <f t="shared" si="17"/>
        <v>2026368</v>
      </c>
      <c r="H111" s="498">
        <f t="shared" si="17"/>
        <v>2363989</v>
      </c>
      <c r="I111" s="499">
        <f t="shared" si="17"/>
        <v>2376304</v>
      </c>
      <c r="J111" s="500"/>
      <c r="K111" s="501"/>
      <c r="L111" s="502"/>
      <c r="M111" s="503">
        <v>26000</v>
      </c>
      <c r="N111" s="501">
        <v>13000</v>
      </c>
      <c r="O111" s="504">
        <v>13140</v>
      </c>
      <c r="P111" s="500"/>
      <c r="Q111" s="501"/>
      <c r="R111" s="502"/>
      <c r="S111" s="503"/>
      <c r="T111" s="501"/>
      <c r="U111" s="504"/>
      <c r="V111" s="500">
        <v>22300</v>
      </c>
      <c r="W111" s="501">
        <v>34600</v>
      </c>
      <c r="X111" s="502">
        <v>34800</v>
      </c>
      <c r="Y111" s="505">
        <f t="shared" si="18"/>
        <v>48300</v>
      </c>
      <c r="Z111" s="506">
        <f t="shared" si="18"/>
        <v>47600</v>
      </c>
      <c r="AA111" s="507">
        <f t="shared" si="18"/>
        <v>47940</v>
      </c>
      <c r="AB111" s="500"/>
      <c r="AC111" s="501"/>
      <c r="AD111" s="502"/>
      <c r="AE111" s="503">
        <v>69300</v>
      </c>
      <c r="AF111" s="501">
        <v>69300</v>
      </c>
      <c r="AG111" s="504">
        <v>69300</v>
      </c>
      <c r="AH111" s="500">
        <v>95700</v>
      </c>
      <c r="AI111" s="501">
        <v>67650</v>
      </c>
      <c r="AJ111" s="502">
        <v>50655</v>
      </c>
      <c r="AK111" s="503">
        <v>129000</v>
      </c>
      <c r="AL111" s="501">
        <v>135280</v>
      </c>
      <c r="AM111" s="504">
        <v>137280</v>
      </c>
      <c r="AN111" s="500">
        <f>264000-26000</f>
        <v>238000</v>
      </c>
      <c r="AO111" s="501">
        <v>264000</v>
      </c>
      <c r="AP111" s="502">
        <v>264000</v>
      </c>
      <c r="AQ111" s="503">
        <f>132000-93616</f>
        <v>38384</v>
      </c>
      <c r="AR111" s="501">
        <f>133650-113645</f>
        <v>20005</v>
      </c>
      <c r="AS111" s="504">
        <f>134475-113645</f>
        <v>20830</v>
      </c>
      <c r="AT111" s="500">
        <f>152625-41621</f>
        <v>111004</v>
      </c>
      <c r="AU111" s="501">
        <v>155678</v>
      </c>
      <c r="AV111" s="502">
        <v>155678</v>
      </c>
      <c r="AW111" s="503">
        <f>253850-30000-100000</f>
        <v>123850</v>
      </c>
      <c r="AX111" s="501">
        <v>223310</v>
      </c>
      <c r="AY111" s="504">
        <v>214710</v>
      </c>
      <c r="AZ111" s="500"/>
      <c r="BA111" s="501"/>
      <c r="BB111" s="502"/>
      <c r="BC111" s="503">
        <f>5500-5500</f>
        <v>0</v>
      </c>
      <c r="BD111" s="501">
        <v>5616</v>
      </c>
      <c r="BE111" s="504">
        <v>5661</v>
      </c>
      <c r="BF111" s="500">
        <v>88775</v>
      </c>
      <c r="BG111" s="501">
        <v>90750</v>
      </c>
      <c r="BH111" s="502">
        <v>107250</v>
      </c>
      <c r="BI111" s="503">
        <f>1099650-223804</f>
        <v>875846</v>
      </c>
      <c r="BJ111" s="501">
        <v>1119800</v>
      </c>
      <c r="BK111" s="504">
        <v>1138000</v>
      </c>
      <c r="BL111" s="500">
        <v>208209</v>
      </c>
      <c r="BM111" s="501">
        <v>165000</v>
      </c>
      <c r="BN111" s="502">
        <v>165000</v>
      </c>
      <c r="BO111" s="503"/>
      <c r="BP111" s="501"/>
      <c r="BQ111" s="504"/>
      <c r="BR111" s="513">
        <f t="shared" si="19"/>
        <v>2026368</v>
      </c>
      <c r="BS111" s="514">
        <f t="shared" si="19"/>
        <v>2363989</v>
      </c>
      <c r="BT111" s="515">
        <f t="shared" si="19"/>
        <v>2376304</v>
      </c>
      <c r="BU111" s="516"/>
      <c r="BV111" s="517"/>
      <c r="BW111" s="518"/>
    </row>
    <row r="112" spans="1:75" ht="36">
      <c r="A112" s="519" t="s">
        <v>49</v>
      </c>
      <c r="B112" s="520">
        <v>43</v>
      </c>
      <c r="C112" s="520" t="s">
        <v>27</v>
      </c>
      <c r="D112" s="521">
        <v>3211</v>
      </c>
      <c r="E112" s="522" t="s">
        <v>60</v>
      </c>
      <c r="F112" s="523" t="s">
        <v>686</v>
      </c>
      <c r="G112" s="497">
        <f t="shared" si="17"/>
        <v>2761452</v>
      </c>
      <c r="H112" s="498">
        <f t="shared" si="17"/>
        <v>3089298</v>
      </c>
      <c r="I112" s="499">
        <f t="shared" si="17"/>
        <v>3210498</v>
      </c>
      <c r="J112" s="500">
        <v>35000</v>
      </c>
      <c r="K112" s="501">
        <v>40000</v>
      </c>
      <c r="L112" s="502">
        <v>50000</v>
      </c>
      <c r="M112" s="503">
        <v>10000</v>
      </c>
      <c r="N112" s="501">
        <v>10100</v>
      </c>
      <c r="O112" s="504">
        <v>10200</v>
      </c>
      <c r="P112" s="500">
        <v>2000</v>
      </c>
      <c r="Q112" s="501">
        <v>2000</v>
      </c>
      <c r="R112" s="502">
        <v>2000</v>
      </c>
      <c r="S112" s="503">
        <v>4600</v>
      </c>
      <c r="T112" s="501">
        <v>4697</v>
      </c>
      <c r="U112" s="504">
        <v>4734</v>
      </c>
      <c r="V112" s="500">
        <v>86400</v>
      </c>
      <c r="W112" s="501">
        <v>120000</v>
      </c>
      <c r="X112" s="502">
        <v>126000</v>
      </c>
      <c r="Y112" s="505">
        <f t="shared" si="18"/>
        <v>138000</v>
      </c>
      <c r="Z112" s="506">
        <f t="shared" si="18"/>
        <v>176797</v>
      </c>
      <c r="AA112" s="507">
        <f t="shared" si="18"/>
        <v>192934</v>
      </c>
      <c r="AB112" s="500">
        <v>130000</v>
      </c>
      <c r="AC112" s="501">
        <v>130000</v>
      </c>
      <c r="AD112" s="502">
        <v>130000</v>
      </c>
      <c r="AE112" s="503">
        <f>100000+35000</f>
        <v>135000</v>
      </c>
      <c r="AF112" s="501">
        <f>100000+15000</f>
        <v>115000</v>
      </c>
      <c r="AG112" s="504">
        <f>100000+40000</f>
        <v>140000</v>
      </c>
      <c r="AH112" s="500">
        <f>220000-100000</f>
        <v>120000</v>
      </c>
      <c r="AI112" s="501">
        <f>205000</f>
        <v>205000</v>
      </c>
      <c r="AJ112" s="502">
        <v>200000</v>
      </c>
      <c r="AK112" s="503">
        <v>1060371</v>
      </c>
      <c r="AL112" s="501">
        <v>1260280</v>
      </c>
      <c r="AM112" s="504">
        <v>1260280</v>
      </c>
      <c r="AN112" s="500">
        <v>55000</v>
      </c>
      <c r="AO112" s="501">
        <v>55000</v>
      </c>
      <c r="AP112" s="502">
        <v>55000</v>
      </c>
      <c r="AQ112" s="503">
        <f>183000-83379</f>
        <v>99621</v>
      </c>
      <c r="AR112" s="501">
        <v>185000</v>
      </c>
      <c r="AS112" s="504">
        <v>187000</v>
      </c>
      <c r="AT112" s="500">
        <v>165000</v>
      </c>
      <c r="AU112" s="501">
        <v>168300</v>
      </c>
      <c r="AV112" s="502">
        <v>168300</v>
      </c>
      <c r="AW112" s="503">
        <v>60000</v>
      </c>
      <c r="AX112" s="501">
        <v>65000</v>
      </c>
      <c r="AY112" s="504">
        <v>65000</v>
      </c>
      <c r="AZ112" s="500">
        <v>10000</v>
      </c>
      <c r="BA112" s="501">
        <v>11000</v>
      </c>
      <c r="BB112" s="502">
        <v>12000</v>
      </c>
      <c r="BC112" s="503">
        <v>34000</v>
      </c>
      <c r="BD112" s="501">
        <v>34620</v>
      </c>
      <c r="BE112" s="504">
        <v>34884</v>
      </c>
      <c r="BF112" s="500">
        <v>320000</v>
      </c>
      <c r="BG112" s="501">
        <v>195000</v>
      </c>
      <c r="BH112" s="502">
        <v>250000</v>
      </c>
      <c r="BI112" s="503">
        <v>229500</v>
      </c>
      <c r="BJ112" s="501">
        <v>274000</v>
      </c>
      <c r="BK112" s="504">
        <v>301000</v>
      </c>
      <c r="BL112" s="500">
        <v>190860</v>
      </c>
      <c r="BM112" s="501">
        <v>200201</v>
      </c>
      <c r="BN112" s="502">
        <v>200000</v>
      </c>
      <c r="BO112" s="503">
        <v>14100</v>
      </c>
      <c r="BP112" s="501">
        <v>14100</v>
      </c>
      <c r="BQ112" s="504">
        <v>14100</v>
      </c>
      <c r="BR112" s="513">
        <f t="shared" si="19"/>
        <v>2761452</v>
      </c>
      <c r="BS112" s="514">
        <f t="shared" si="19"/>
        <v>3089298</v>
      </c>
      <c r="BT112" s="515">
        <f t="shared" si="19"/>
        <v>3210498</v>
      </c>
      <c r="BU112" s="516"/>
      <c r="BV112" s="517"/>
      <c r="BW112" s="518"/>
    </row>
    <row r="113" spans="1:75" ht="36">
      <c r="A113" s="519" t="s">
        <v>49</v>
      </c>
      <c r="B113" s="520">
        <v>43</v>
      </c>
      <c r="C113" s="520" t="s">
        <v>27</v>
      </c>
      <c r="D113" s="521">
        <v>3212</v>
      </c>
      <c r="E113" s="522" t="s">
        <v>754</v>
      </c>
      <c r="F113" s="523" t="s">
        <v>686</v>
      </c>
      <c r="G113" s="497">
        <f t="shared" si="17"/>
        <v>139854</v>
      </c>
      <c r="H113" s="498">
        <f t="shared" si="17"/>
        <v>139150</v>
      </c>
      <c r="I113" s="499">
        <f t="shared" si="17"/>
        <v>142600</v>
      </c>
      <c r="J113" s="500"/>
      <c r="K113" s="501"/>
      <c r="L113" s="502"/>
      <c r="M113" s="503">
        <v>2800</v>
      </c>
      <c r="N113" s="501">
        <v>2800</v>
      </c>
      <c r="O113" s="504">
        <v>2800</v>
      </c>
      <c r="P113" s="500"/>
      <c r="Q113" s="501"/>
      <c r="R113" s="502"/>
      <c r="S113" s="503">
        <v>11950</v>
      </c>
      <c r="T113" s="501">
        <v>2750</v>
      </c>
      <c r="U113" s="504"/>
      <c r="V113" s="500">
        <v>6500</v>
      </c>
      <c r="W113" s="501">
        <v>9600</v>
      </c>
      <c r="X113" s="502">
        <v>9800</v>
      </c>
      <c r="Y113" s="505">
        <f t="shared" si="18"/>
        <v>21250</v>
      </c>
      <c r="Z113" s="506">
        <f t="shared" si="18"/>
        <v>15150</v>
      </c>
      <c r="AA113" s="507">
        <f t="shared" si="18"/>
        <v>12600</v>
      </c>
      <c r="AB113" s="500"/>
      <c r="AC113" s="501"/>
      <c r="AD113" s="502"/>
      <c r="AE113" s="503">
        <v>1000</v>
      </c>
      <c r="AF113" s="501">
        <v>1000</v>
      </c>
      <c r="AG113" s="504">
        <v>1000</v>
      </c>
      <c r="AH113" s="500"/>
      <c r="AI113" s="501"/>
      <c r="AJ113" s="502"/>
      <c r="AK113" s="503">
        <v>32000</v>
      </c>
      <c r="AL113" s="501">
        <v>40000</v>
      </c>
      <c r="AM113" s="504">
        <v>43000</v>
      </c>
      <c r="AN113" s="500">
        <v>25000</v>
      </c>
      <c r="AO113" s="501">
        <v>25000</v>
      </c>
      <c r="AP113" s="502">
        <v>25000</v>
      </c>
      <c r="AQ113" s="503"/>
      <c r="AR113" s="501"/>
      <c r="AS113" s="504"/>
      <c r="AT113" s="500"/>
      <c r="AU113" s="501"/>
      <c r="AV113" s="502"/>
      <c r="AW113" s="503">
        <v>10000</v>
      </c>
      <c r="AX113" s="501">
        <v>8000</v>
      </c>
      <c r="AY113" s="504">
        <v>6000</v>
      </c>
      <c r="AZ113" s="500"/>
      <c r="BA113" s="501"/>
      <c r="BB113" s="502"/>
      <c r="BC113" s="503"/>
      <c r="BD113" s="501"/>
      <c r="BE113" s="504"/>
      <c r="BF113" s="500">
        <v>27000</v>
      </c>
      <c r="BG113" s="501">
        <v>30000</v>
      </c>
      <c r="BH113" s="502">
        <v>35000</v>
      </c>
      <c r="BI113" s="503"/>
      <c r="BJ113" s="501"/>
      <c r="BK113" s="504"/>
      <c r="BL113" s="500">
        <v>23604</v>
      </c>
      <c r="BM113" s="501">
        <v>20000</v>
      </c>
      <c r="BN113" s="502">
        <v>20000</v>
      </c>
      <c r="BO113" s="503"/>
      <c r="BP113" s="501"/>
      <c r="BQ113" s="504"/>
      <c r="BR113" s="513">
        <f t="shared" si="19"/>
        <v>139854</v>
      </c>
      <c r="BS113" s="514">
        <f t="shared" si="19"/>
        <v>139150</v>
      </c>
      <c r="BT113" s="515">
        <f t="shared" si="19"/>
        <v>142600</v>
      </c>
      <c r="BU113" s="516"/>
      <c r="BV113" s="517"/>
      <c r="BW113" s="518"/>
    </row>
    <row r="114" spans="1:75" ht="36">
      <c r="A114" s="519" t="s">
        <v>49</v>
      </c>
      <c r="B114" s="520">
        <v>43</v>
      </c>
      <c r="C114" s="520" t="s">
        <v>27</v>
      </c>
      <c r="D114" s="521">
        <v>3213</v>
      </c>
      <c r="E114" s="522" t="s">
        <v>64</v>
      </c>
      <c r="F114" s="523" t="s">
        <v>686</v>
      </c>
      <c r="G114" s="497">
        <f t="shared" si="17"/>
        <v>536100</v>
      </c>
      <c r="H114" s="498">
        <f t="shared" si="17"/>
        <v>567546</v>
      </c>
      <c r="I114" s="499">
        <f t="shared" si="17"/>
        <v>568182</v>
      </c>
      <c r="J114" s="500">
        <v>2500</v>
      </c>
      <c r="K114" s="501">
        <v>3000</v>
      </c>
      <c r="L114" s="502">
        <v>3000</v>
      </c>
      <c r="M114" s="503">
        <v>8000</v>
      </c>
      <c r="N114" s="501">
        <v>8000</v>
      </c>
      <c r="O114" s="504">
        <v>8000</v>
      </c>
      <c r="P114" s="500">
        <v>2000</v>
      </c>
      <c r="Q114" s="501">
        <v>2000</v>
      </c>
      <c r="R114" s="502">
        <v>2000</v>
      </c>
      <c r="S114" s="503">
        <v>1500</v>
      </c>
      <c r="T114" s="501">
        <v>1531</v>
      </c>
      <c r="U114" s="504">
        <v>1544</v>
      </c>
      <c r="V114" s="500">
        <v>18500</v>
      </c>
      <c r="W114" s="501">
        <v>24000</v>
      </c>
      <c r="X114" s="502">
        <v>24000</v>
      </c>
      <c r="Y114" s="505">
        <f t="shared" si="18"/>
        <v>32500</v>
      </c>
      <c r="Z114" s="506">
        <f t="shared" si="18"/>
        <v>38531</v>
      </c>
      <c r="AA114" s="507">
        <f t="shared" si="18"/>
        <v>38544</v>
      </c>
      <c r="AB114" s="500"/>
      <c r="AC114" s="501"/>
      <c r="AD114" s="502"/>
      <c r="AE114" s="503">
        <f>40000+30000</f>
        <v>70000</v>
      </c>
      <c r="AF114" s="501">
        <f>40000+15000</f>
        <v>55000</v>
      </c>
      <c r="AG114" s="504">
        <f>40000+35000</f>
        <v>75000</v>
      </c>
      <c r="AH114" s="500">
        <v>42000</v>
      </c>
      <c r="AI114" s="501">
        <v>45000</v>
      </c>
      <c r="AJ114" s="502">
        <v>45000</v>
      </c>
      <c r="AK114" s="503"/>
      <c r="AL114" s="501"/>
      <c r="AM114" s="504"/>
      <c r="AN114" s="500">
        <v>15000</v>
      </c>
      <c r="AO114" s="501">
        <v>15000</v>
      </c>
      <c r="AP114" s="502">
        <v>15000</v>
      </c>
      <c r="AQ114" s="503">
        <v>20000</v>
      </c>
      <c r="AR114" s="501">
        <v>21000</v>
      </c>
      <c r="AS114" s="504">
        <v>22000</v>
      </c>
      <c r="AT114" s="500">
        <v>35000</v>
      </c>
      <c r="AU114" s="501">
        <v>35700</v>
      </c>
      <c r="AV114" s="502">
        <v>35700</v>
      </c>
      <c r="AW114" s="503">
        <v>56000</v>
      </c>
      <c r="AX114" s="501">
        <v>56000</v>
      </c>
      <c r="AY114" s="504">
        <v>56000</v>
      </c>
      <c r="AZ114" s="500"/>
      <c r="BA114" s="501"/>
      <c r="BB114" s="502"/>
      <c r="BC114" s="503">
        <v>15000</v>
      </c>
      <c r="BD114" s="501">
        <v>15315</v>
      </c>
      <c r="BE114" s="504">
        <v>15438</v>
      </c>
      <c r="BF114" s="500">
        <v>70500</v>
      </c>
      <c r="BG114" s="501">
        <v>95000</v>
      </c>
      <c r="BH114" s="502">
        <v>70500</v>
      </c>
      <c r="BI114" s="503">
        <v>77000</v>
      </c>
      <c r="BJ114" s="501">
        <v>79000</v>
      </c>
      <c r="BK114" s="504">
        <v>78000</v>
      </c>
      <c r="BL114" s="500">
        <v>91100</v>
      </c>
      <c r="BM114" s="501">
        <v>100000</v>
      </c>
      <c r="BN114" s="502">
        <v>105000</v>
      </c>
      <c r="BO114" s="503">
        <v>12000</v>
      </c>
      <c r="BP114" s="501">
        <v>12000</v>
      </c>
      <c r="BQ114" s="504">
        <v>12000</v>
      </c>
      <c r="BR114" s="513">
        <f t="shared" si="19"/>
        <v>536100</v>
      </c>
      <c r="BS114" s="514">
        <f t="shared" si="19"/>
        <v>567546</v>
      </c>
      <c r="BT114" s="515">
        <f t="shared" si="19"/>
        <v>568182</v>
      </c>
      <c r="BU114" s="516"/>
      <c r="BV114" s="517"/>
      <c r="BW114" s="518"/>
    </row>
    <row r="115" spans="1:75" ht="36">
      <c r="A115" s="519" t="s">
        <v>49</v>
      </c>
      <c r="B115" s="520">
        <v>43</v>
      </c>
      <c r="C115" s="520" t="s">
        <v>27</v>
      </c>
      <c r="D115" s="521">
        <v>3214</v>
      </c>
      <c r="E115" s="522" t="s">
        <v>75</v>
      </c>
      <c r="F115" s="523" t="s">
        <v>686</v>
      </c>
      <c r="G115" s="497">
        <f t="shared" si="17"/>
        <v>38000</v>
      </c>
      <c r="H115" s="498">
        <f t="shared" si="17"/>
        <v>45915</v>
      </c>
      <c r="I115" s="499">
        <f t="shared" si="17"/>
        <v>38638</v>
      </c>
      <c r="J115" s="500"/>
      <c r="K115" s="501"/>
      <c r="L115" s="502"/>
      <c r="M115" s="503"/>
      <c r="N115" s="501"/>
      <c r="O115" s="504"/>
      <c r="P115" s="500"/>
      <c r="Q115" s="501"/>
      <c r="R115" s="502"/>
      <c r="S115" s="503"/>
      <c r="T115" s="501"/>
      <c r="U115" s="504"/>
      <c r="V115" s="500"/>
      <c r="W115" s="501"/>
      <c r="X115" s="502"/>
      <c r="Y115" s="505">
        <f t="shared" si="18"/>
        <v>0</v>
      </c>
      <c r="Z115" s="506">
        <f t="shared" si="18"/>
        <v>0</v>
      </c>
      <c r="AA115" s="507">
        <f t="shared" si="18"/>
        <v>0</v>
      </c>
      <c r="AB115" s="500"/>
      <c r="AC115" s="501"/>
      <c r="AD115" s="502"/>
      <c r="AE115" s="503">
        <v>10000</v>
      </c>
      <c r="AF115" s="501">
        <v>10000</v>
      </c>
      <c r="AG115" s="504">
        <v>10000</v>
      </c>
      <c r="AH115" s="500"/>
      <c r="AI115" s="501"/>
      <c r="AJ115" s="502"/>
      <c r="AK115" s="503"/>
      <c r="AL115" s="501"/>
      <c r="AM115" s="504"/>
      <c r="AN115" s="500"/>
      <c r="AO115" s="501"/>
      <c r="AP115" s="502"/>
      <c r="AQ115" s="503"/>
      <c r="AR115" s="501"/>
      <c r="AS115" s="504"/>
      <c r="AT115" s="500"/>
      <c r="AU115" s="501"/>
      <c r="AV115" s="502"/>
      <c r="AW115" s="503"/>
      <c r="AX115" s="501"/>
      <c r="AY115" s="504"/>
      <c r="AZ115" s="500">
        <v>1500</v>
      </c>
      <c r="BA115" s="501">
        <v>1600</v>
      </c>
      <c r="BB115" s="502">
        <v>1700</v>
      </c>
      <c r="BC115" s="503">
        <v>15000</v>
      </c>
      <c r="BD115" s="501">
        <v>15315</v>
      </c>
      <c r="BE115" s="504">
        <v>15438</v>
      </c>
      <c r="BF115" s="500">
        <v>7500</v>
      </c>
      <c r="BG115" s="501">
        <v>15000</v>
      </c>
      <c r="BH115" s="502">
        <v>7500</v>
      </c>
      <c r="BI115" s="503">
        <v>3000</v>
      </c>
      <c r="BJ115" s="501">
        <v>3000</v>
      </c>
      <c r="BK115" s="504">
        <v>3000</v>
      </c>
      <c r="BL115" s="500"/>
      <c r="BM115" s="501"/>
      <c r="BN115" s="502"/>
      <c r="BO115" s="503">
        <v>1000</v>
      </c>
      <c r="BP115" s="501">
        <v>1000</v>
      </c>
      <c r="BQ115" s="504">
        <v>1000</v>
      </c>
      <c r="BR115" s="513">
        <f t="shared" si="19"/>
        <v>38000</v>
      </c>
      <c r="BS115" s="514">
        <f t="shared" si="19"/>
        <v>45915</v>
      </c>
      <c r="BT115" s="515">
        <f t="shared" si="19"/>
        <v>38638</v>
      </c>
      <c r="BU115" s="516"/>
      <c r="BV115" s="517"/>
      <c r="BW115" s="518"/>
    </row>
    <row r="116" spans="1:75" ht="36">
      <c r="A116" s="519" t="s">
        <v>49</v>
      </c>
      <c r="B116" s="520">
        <v>43</v>
      </c>
      <c r="C116" s="520" t="s">
        <v>27</v>
      </c>
      <c r="D116" s="521">
        <v>3221</v>
      </c>
      <c r="E116" s="522" t="s">
        <v>65</v>
      </c>
      <c r="F116" s="523" t="s">
        <v>686</v>
      </c>
      <c r="G116" s="497">
        <f t="shared" si="17"/>
        <v>2753601</v>
      </c>
      <c r="H116" s="498">
        <f t="shared" si="17"/>
        <v>3150146</v>
      </c>
      <c r="I116" s="499">
        <f t="shared" si="17"/>
        <v>3309386</v>
      </c>
      <c r="J116" s="500">
        <v>35000</v>
      </c>
      <c r="K116" s="501">
        <v>37000</v>
      </c>
      <c r="L116" s="502">
        <v>40000</v>
      </c>
      <c r="M116" s="503">
        <v>100000</v>
      </c>
      <c r="N116" s="501">
        <v>101000</v>
      </c>
      <c r="O116" s="504">
        <v>102000</v>
      </c>
      <c r="P116" s="500">
        <v>28000</v>
      </c>
      <c r="Q116" s="501">
        <v>28000</v>
      </c>
      <c r="R116" s="502">
        <v>28000</v>
      </c>
      <c r="S116" s="503">
        <v>17000</v>
      </c>
      <c r="T116" s="501">
        <v>17357</v>
      </c>
      <c r="U116" s="504">
        <v>17496</v>
      </c>
      <c r="V116" s="500">
        <v>85600</v>
      </c>
      <c r="W116" s="501">
        <v>87400</v>
      </c>
      <c r="X116" s="502">
        <v>87400</v>
      </c>
      <c r="Y116" s="505">
        <f t="shared" si="18"/>
        <v>265600</v>
      </c>
      <c r="Z116" s="506">
        <f t="shared" si="18"/>
        <v>270757</v>
      </c>
      <c r="AA116" s="507">
        <f t="shared" si="18"/>
        <v>274896</v>
      </c>
      <c r="AB116" s="500">
        <v>65300</v>
      </c>
      <c r="AC116" s="501">
        <v>65300</v>
      </c>
      <c r="AD116" s="502">
        <v>65300</v>
      </c>
      <c r="AE116" s="503">
        <f>100000+4500</f>
        <v>104500</v>
      </c>
      <c r="AF116" s="501">
        <v>80000</v>
      </c>
      <c r="AG116" s="504">
        <v>50000</v>
      </c>
      <c r="AH116" s="500">
        <v>85000</v>
      </c>
      <c r="AI116" s="501">
        <v>80000</v>
      </c>
      <c r="AJ116" s="502">
        <v>80000</v>
      </c>
      <c r="AK116" s="503">
        <v>826577</v>
      </c>
      <c r="AL116" s="501">
        <v>862036</v>
      </c>
      <c r="AM116" s="504">
        <v>888036</v>
      </c>
      <c r="AN116" s="500">
        <v>100000</v>
      </c>
      <c r="AO116" s="501">
        <v>100000</v>
      </c>
      <c r="AP116" s="502">
        <v>100000</v>
      </c>
      <c r="AQ116" s="503">
        <f>105000-25000</f>
        <v>80000</v>
      </c>
      <c r="AR116" s="501">
        <v>110000</v>
      </c>
      <c r="AS116" s="504">
        <v>115000</v>
      </c>
      <c r="AT116" s="599">
        <v>135000</v>
      </c>
      <c r="AU116" s="600">
        <v>137700</v>
      </c>
      <c r="AV116" s="601">
        <v>137700</v>
      </c>
      <c r="AW116" s="503">
        <f>190000-66026</f>
        <v>123974</v>
      </c>
      <c r="AX116" s="501">
        <v>190000</v>
      </c>
      <c r="AY116" s="504">
        <v>190000</v>
      </c>
      <c r="AZ116" s="500">
        <v>40000</v>
      </c>
      <c r="BA116" s="501">
        <v>42000</v>
      </c>
      <c r="BB116" s="502">
        <v>42000</v>
      </c>
      <c r="BC116" s="503">
        <v>43000</v>
      </c>
      <c r="BD116" s="501">
        <v>43903</v>
      </c>
      <c r="BE116" s="504">
        <v>44254</v>
      </c>
      <c r="BF116" s="500">
        <v>612450</v>
      </c>
      <c r="BG116" s="501">
        <v>846250</v>
      </c>
      <c r="BH116" s="502">
        <v>1000000</v>
      </c>
      <c r="BI116" s="503">
        <v>174000</v>
      </c>
      <c r="BJ116" s="501">
        <v>174000</v>
      </c>
      <c r="BK116" s="504">
        <v>174000</v>
      </c>
      <c r="BL116" s="500"/>
      <c r="BM116" s="501"/>
      <c r="BN116" s="502"/>
      <c r="BO116" s="503">
        <f>148200-50000</f>
        <v>98200</v>
      </c>
      <c r="BP116" s="501">
        <v>148200</v>
      </c>
      <c r="BQ116" s="504">
        <v>148200</v>
      </c>
      <c r="BR116" s="513">
        <f t="shared" si="19"/>
        <v>2753601</v>
      </c>
      <c r="BS116" s="514">
        <f t="shared" si="19"/>
        <v>3150146</v>
      </c>
      <c r="BT116" s="515">
        <f t="shared" si="19"/>
        <v>3309386</v>
      </c>
      <c r="BU116" s="516"/>
      <c r="BV116" s="517"/>
      <c r="BW116" s="518"/>
    </row>
    <row r="117" spans="1:75" ht="36">
      <c r="A117" s="519" t="s">
        <v>49</v>
      </c>
      <c r="B117" s="520">
        <v>43</v>
      </c>
      <c r="C117" s="520" t="s">
        <v>27</v>
      </c>
      <c r="D117" s="521">
        <v>3222</v>
      </c>
      <c r="E117" s="522" t="s">
        <v>76</v>
      </c>
      <c r="F117" s="523" t="s">
        <v>686</v>
      </c>
      <c r="G117" s="497">
        <f t="shared" si="17"/>
        <v>792104</v>
      </c>
      <c r="H117" s="498">
        <f t="shared" si="17"/>
        <v>402000</v>
      </c>
      <c r="I117" s="499">
        <f t="shared" si="17"/>
        <v>502000</v>
      </c>
      <c r="J117" s="500"/>
      <c r="K117" s="501"/>
      <c r="L117" s="502"/>
      <c r="M117" s="503"/>
      <c r="N117" s="501"/>
      <c r="O117" s="504"/>
      <c r="P117" s="500"/>
      <c r="Q117" s="501"/>
      <c r="R117" s="502"/>
      <c r="S117" s="503"/>
      <c r="T117" s="501"/>
      <c r="U117" s="504"/>
      <c r="V117" s="500"/>
      <c r="W117" s="501"/>
      <c r="X117" s="502"/>
      <c r="Y117" s="505">
        <f t="shared" si="18"/>
        <v>0</v>
      </c>
      <c r="Z117" s="506">
        <f t="shared" si="18"/>
        <v>0</v>
      </c>
      <c r="AA117" s="507">
        <f t="shared" si="18"/>
        <v>0</v>
      </c>
      <c r="AB117" s="500"/>
      <c r="AC117" s="501"/>
      <c r="AD117" s="502"/>
      <c r="AE117" s="503"/>
      <c r="AF117" s="501"/>
      <c r="AG117" s="504"/>
      <c r="AH117" s="500">
        <v>240000</v>
      </c>
      <c r="AI117" s="501">
        <v>200000</v>
      </c>
      <c r="AJ117" s="502">
        <v>200000</v>
      </c>
      <c r="AK117" s="503"/>
      <c r="AL117" s="501"/>
      <c r="AM117" s="504"/>
      <c r="AN117" s="500">
        <v>2000</v>
      </c>
      <c r="AO117" s="501">
        <v>2000</v>
      </c>
      <c r="AP117" s="502">
        <v>2000</v>
      </c>
      <c r="AQ117" s="503"/>
      <c r="AR117" s="501"/>
      <c r="AS117" s="504"/>
      <c r="AT117" s="500"/>
      <c r="AU117" s="501"/>
      <c r="AV117" s="502"/>
      <c r="AW117" s="503"/>
      <c r="AX117" s="501"/>
      <c r="AY117" s="504"/>
      <c r="AZ117" s="500"/>
      <c r="BA117" s="501"/>
      <c r="BB117" s="502"/>
      <c r="BC117" s="503"/>
      <c r="BD117" s="501"/>
      <c r="BE117" s="504"/>
      <c r="BF117" s="500"/>
      <c r="BG117" s="501"/>
      <c r="BH117" s="502"/>
      <c r="BI117" s="503"/>
      <c r="BJ117" s="501"/>
      <c r="BK117" s="504"/>
      <c r="BL117" s="500">
        <v>550104</v>
      </c>
      <c r="BM117" s="501">
        <f>500000-300000</f>
        <v>200000</v>
      </c>
      <c r="BN117" s="502">
        <f>600000-300000</f>
        <v>300000</v>
      </c>
      <c r="BO117" s="503"/>
      <c r="BP117" s="501"/>
      <c r="BQ117" s="504"/>
      <c r="BR117" s="513">
        <f t="shared" si="19"/>
        <v>792104</v>
      </c>
      <c r="BS117" s="514">
        <f t="shared" si="19"/>
        <v>402000</v>
      </c>
      <c r="BT117" s="515">
        <f t="shared" si="19"/>
        <v>502000</v>
      </c>
      <c r="BU117" s="516"/>
      <c r="BV117" s="517"/>
      <c r="BW117" s="518"/>
    </row>
    <row r="118" spans="1:75" ht="36">
      <c r="A118" s="519" t="s">
        <v>49</v>
      </c>
      <c r="B118" s="520">
        <v>43</v>
      </c>
      <c r="C118" s="520" t="s">
        <v>27</v>
      </c>
      <c r="D118" s="521">
        <v>3223</v>
      </c>
      <c r="E118" s="522" t="s">
        <v>77</v>
      </c>
      <c r="F118" s="523" t="s">
        <v>686</v>
      </c>
      <c r="G118" s="497">
        <f t="shared" si="17"/>
        <v>1712650</v>
      </c>
      <c r="H118" s="498">
        <f t="shared" si="17"/>
        <v>1814133</v>
      </c>
      <c r="I118" s="499">
        <f t="shared" si="17"/>
        <v>1831655</v>
      </c>
      <c r="J118" s="500">
        <v>25000</v>
      </c>
      <c r="K118" s="501">
        <v>30000</v>
      </c>
      <c r="L118" s="502">
        <v>35000</v>
      </c>
      <c r="M118" s="503">
        <v>286000</v>
      </c>
      <c r="N118" s="501">
        <v>288000</v>
      </c>
      <c r="O118" s="504">
        <v>290000</v>
      </c>
      <c r="P118" s="500">
        <v>10000</v>
      </c>
      <c r="Q118" s="501">
        <v>10000</v>
      </c>
      <c r="R118" s="502">
        <v>10000</v>
      </c>
      <c r="S118" s="503">
        <v>60050</v>
      </c>
      <c r="T118" s="501">
        <v>61311</v>
      </c>
      <c r="U118" s="504">
        <v>61802</v>
      </c>
      <c r="V118" s="500">
        <v>500</v>
      </c>
      <c r="W118" s="501">
        <v>520</v>
      </c>
      <c r="X118" s="502">
        <v>550</v>
      </c>
      <c r="Y118" s="505">
        <f t="shared" si="18"/>
        <v>381550</v>
      </c>
      <c r="Z118" s="506">
        <f t="shared" si="18"/>
        <v>389831</v>
      </c>
      <c r="AA118" s="507">
        <f t="shared" si="18"/>
        <v>397352</v>
      </c>
      <c r="AB118" s="500">
        <v>250000</v>
      </c>
      <c r="AC118" s="501">
        <v>250000</v>
      </c>
      <c r="AD118" s="502">
        <v>250000</v>
      </c>
      <c r="AE118" s="503">
        <v>10000</v>
      </c>
      <c r="AF118" s="501">
        <v>8000</v>
      </c>
      <c r="AG118" s="504">
        <v>8000</v>
      </c>
      <c r="AH118" s="500">
        <v>356000</v>
      </c>
      <c r="AI118" s="501">
        <v>340000</v>
      </c>
      <c r="AJ118" s="502">
        <v>350000</v>
      </c>
      <c r="AK118" s="503"/>
      <c r="AL118" s="501"/>
      <c r="AM118" s="504"/>
      <c r="AN118" s="500">
        <v>5000</v>
      </c>
      <c r="AO118" s="501">
        <v>5000</v>
      </c>
      <c r="AP118" s="502">
        <v>5000</v>
      </c>
      <c r="AQ118" s="503"/>
      <c r="AR118" s="501"/>
      <c r="AS118" s="504"/>
      <c r="AT118" s="599">
        <v>60000</v>
      </c>
      <c r="AU118" s="600">
        <v>61200</v>
      </c>
      <c r="AV118" s="601">
        <v>61200</v>
      </c>
      <c r="AW118" s="503">
        <v>50000</v>
      </c>
      <c r="AX118" s="501">
        <v>50000</v>
      </c>
      <c r="AY118" s="504">
        <v>50000</v>
      </c>
      <c r="AZ118" s="500"/>
      <c r="BA118" s="501"/>
      <c r="BB118" s="502"/>
      <c r="BC118" s="503">
        <v>100</v>
      </c>
      <c r="BD118" s="501">
        <v>102</v>
      </c>
      <c r="BE118" s="504">
        <v>103</v>
      </c>
      <c r="BF118" s="500">
        <v>340000</v>
      </c>
      <c r="BG118" s="501">
        <v>450000</v>
      </c>
      <c r="BH118" s="502">
        <v>450000</v>
      </c>
      <c r="BI118" s="503">
        <v>249000</v>
      </c>
      <c r="BJ118" s="501">
        <v>249000</v>
      </c>
      <c r="BK118" s="504">
        <v>249000</v>
      </c>
      <c r="BL118" s="500"/>
      <c r="BM118" s="501"/>
      <c r="BN118" s="502"/>
      <c r="BO118" s="503">
        <v>11000</v>
      </c>
      <c r="BP118" s="501">
        <v>11000</v>
      </c>
      <c r="BQ118" s="504">
        <v>11000</v>
      </c>
      <c r="BR118" s="513">
        <f t="shared" si="19"/>
        <v>1712650</v>
      </c>
      <c r="BS118" s="514">
        <f t="shared" si="19"/>
        <v>1814133</v>
      </c>
      <c r="BT118" s="515">
        <f t="shared" si="19"/>
        <v>1831655</v>
      </c>
      <c r="BU118" s="516"/>
      <c r="BV118" s="517"/>
      <c r="BW118" s="518"/>
    </row>
    <row r="119" spans="1:75" ht="36">
      <c r="A119" s="519" t="s">
        <v>49</v>
      </c>
      <c r="B119" s="520">
        <v>43</v>
      </c>
      <c r="C119" s="520" t="s">
        <v>27</v>
      </c>
      <c r="D119" s="521">
        <v>3224</v>
      </c>
      <c r="E119" s="522" t="s">
        <v>61</v>
      </c>
      <c r="F119" s="523" t="s">
        <v>686</v>
      </c>
      <c r="G119" s="497">
        <f t="shared" si="17"/>
        <v>704306</v>
      </c>
      <c r="H119" s="498">
        <f t="shared" si="17"/>
        <v>698082</v>
      </c>
      <c r="I119" s="499">
        <f t="shared" si="17"/>
        <v>699149</v>
      </c>
      <c r="J119" s="500"/>
      <c r="K119" s="501"/>
      <c r="L119" s="502"/>
      <c r="M119" s="503">
        <v>8000</v>
      </c>
      <c r="N119" s="501">
        <v>8100</v>
      </c>
      <c r="O119" s="504">
        <v>8200</v>
      </c>
      <c r="P119" s="500"/>
      <c r="Q119" s="501"/>
      <c r="R119" s="502"/>
      <c r="S119" s="503">
        <v>5500</v>
      </c>
      <c r="T119" s="501">
        <v>5615</v>
      </c>
      <c r="U119" s="504">
        <v>5660</v>
      </c>
      <c r="V119" s="500">
        <v>18500</v>
      </c>
      <c r="W119" s="501">
        <v>21600</v>
      </c>
      <c r="X119" s="502">
        <v>21600</v>
      </c>
      <c r="Y119" s="505">
        <f t="shared" si="18"/>
        <v>32000</v>
      </c>
      <c r="Z119" s="506">
        <f t="shared" si="18"/>
        <v>35315</v>
      </c>
      <c r="AA119" s="507">
        <f t="shared" si="18"/>
        <v>35460</v>
      </c>
      <c r="AB119" s="500">
        <v>52500</v>
      </c>
      <c r="AC119" s="501">
        <v>52500</v>
      </c>
      <c r="AD119" s="502">
        <v>52500</v>
      </c>
      <c r="AE119" s="503">
        <v>20000</v>
      </c>
      <c r="AF119" s="501">
        <v>20000</v>
      </c>
      <c r="AG119" s="504">
        <v>20000</v>
      </c>
      <c r="AH119" s="500">
        <v>85000</v>
      </c>
      <c r="AI119" s="501">
        <v>75000</v>
      </c>
      <c r="AJ119" s="502">
        <v>70000</v>
      </c>
      <c r="AK119" s="503">
        <v>283876</v>
      </c>
      <c r="AL119" s="501">
        <v>287999</v>
      </c>
      <c r="AM119" s="504">
        <v>292876</v>
      </c>
      <c r="AN119" s="500">
        <v>50000</v>
      </c>
      <c r="AO119" s="501">
        <v>50000</v>
      </c>
      <c r="AP119" s="502">
        <v>50000</v>
      </c>
      <c r="AQ119" s="503">
        <v>55000</v>
      </c>
      <c r="AR119" s="501">
        <v>56000</v>
      </c>
      <c r="AS119" s="504">
        <v>57000</v>
      </c>
      <c r="AT119" s="599">
        <v>2500</v>
      </c>
      <c r="AU119" s="600">
        <v>2550</v>
      </c>
      <c r="AV119" s="601">
        <v>2550</v>
      </c>
      <c r="AW119" s="503">
        <v>30000</v>
      </c>
      <c r="AX119" s="501">
        <v>30000</v>
      </c>
      <c r="AY119" s="504">
        <v>30000</v>
      </c>
      <c r="AZ119" s="500">
        <v>5000</v>
      </c>
      <c r="BA119" s="501">
        <v>6000</v>
      </c>
      <c r="BB119" s="502">
        <v>6000</v>
      </c>
      <c r="BC119" s="503">
        <v>5500</v>
      </c>
      <c r="BD119" s="501">
        <v>5718</v>
      </c>
      <c r="BE119" s="504">
        <v>5763</v>
      </c>
      <c r="BF119" s="500">
        <v>20000</v>
      </c>
      <c r="BG119" s="501">
        <v>20000</v>
      </c>
      <c r="BH119" s="502">
        <v>20000</v>
      </c>
      <c r="BI119" s="503">
        <v>54000</v>
      </c>
      <c r="BJ119" s="501">
        <v>54000</v>
      </c>
      <c r="BK119" s="504">
        <v>54000</v>
      </c>
      <c r="BL119" s="500"/>
      <c r="BM119" s="501"/>
      <c r="BN119" s="502"/>
      <c r="BO119" s="503">
        <v>8930</v>
      </c>
      <c r="BP119" s="501">
        <v>3000</v>
      </c>
      <c r="BQ119" s="504">
        <v>3000</v>
      </c>
      <c r="BR119" s="513">
        <f t="shared" si="19"/>
        <v>704306</v>
      </c>
      <c r="BS119" s="514">
        <f t="shared" si="19"/>
        <v>698082</v>
      </c>
      <c r="BT119" s="515">
        <f t="shared" si="19"/>
        <v>699149</v>
      </c>
      <c r="BU119" s="516"/>
      <c r="BV119" s="517"/>
      <c r="BW119" s="518"/>
    </row>
    <row r="120" spans="1:75" ht="36">
      <c r="A120" s="519" t="s">
        <v>49</v>
      </c>
      <c r="B120" s="520">
        <v>43</v>
      </c>
      <c r="C120" s="520" t="s">
        <v>27</v>
      </c>
      <c r="D120" s="521">
        <v>3225</v>
      </c>
      <c r="E120" s="522" t="s">
        <v>78</v>
      </c>
      <c r="F120" s="523" t="s">
        <v>686</v>
      </c>
      <c r="G120" s="497">
        <f t="shared" si="17"/>
        <v>330800</v>
      </c>
      <c r="H120" s="498">
        <f t="shared" si="17"/>
        <v>349259</v>
      </c>
      <c r="I120" s="499">
        <f t="shared" si="17"/>
        <v>351546</v>
      </c>
      <c r="J120" s="500">
        <v>1000</v>
      </c>
      <c r="K120" s="501">
        <v>1000</v>
      </c>
      <c r="L120" s="502">
        <v>1500</v>
      </c>
      <c r="M120" s="503">
        <v>3000</v>
      </c>
      <c r="N120" s="501">
        <v>3100</v>
      </c>
      <c r="O120" s="504">
        <v>3150</v>
      </c>
      <c r="P120" s="500"/>
      <c r="Q120" s="501"/>
      <c r="R120" s="502"/>
      <c r="S120" s="503">
        <v>4000</v>
      </c>
      <c r="T120" s="501">
        <v>4084</v>
      </c>
      <c r="U120" s="504">
        <v>4117</v>
      </c>
      <c r="V120" s="500">
        <v>5300</v>
      </c>
      <c r="W120" s="501">
        <v>5800</v>
      </c>
      <c r="X120" s="502">
        <v>5800</v>
      </c>
      <c r="Y120" s="505">
        <f t="shared" si="18"/>
        <v>13300</v>
      </c>
      <c r="Z120" s="506">
        <f t="shared" si="18"/>
        <v>13984</v>
      </c>
      <c r="AA120" s="507">
        <f t="shared" si="18"/>
        <v>14567</v>
      </c>
      <c r="AB120" s="500">
        <v>8000</v>
      </c>
      <c r="AC120" s="501">
        <v>8000</v>
      </c>
      <c r="AD120" s="502">
        <v>8000</v>
      </c>
      <c r="AE120" s="503">
        <v>2000</v>
      </c>
      <c r="AF120" s="501">
        <v>2000</v>
      </c>
      <c r="AG120" s="504">
        <v>2000</v>
      </c>
      <c r="AH120" s="500">
        <v>33000</v>
      </c>
      <c r="AI120" s="501">
        <v>25000</v>
      </c>
      <c r="AJ120" s="502">
        <v>25500</v>
      </c>
      <c r="AK120" s="503">
        <v>131000</v>
      </c>
      <c r="AL120" s="501">
        <v>138000</v>
      </c>
      <c r="AM120" s="504">
        <v>138000</v>
      </c>
      <c r="AN120" s="500">
        <v>25000</v>
      </c>
      <c r="AO120" s="501">
        <v>25000</v>
      </c>
      <c r="AP120" s="502">
        <v>25000</v>
      </c>
      <c r="AQ120" s="503">
        <v>40000</v>
      </c>
      <c r="AR120" s="501">
        <v>40000</v>
      </c>
      <c r="AS120" s="504">
        <v>40000</v>
      </c>
      <c r="AT120" s="599">
        <v>12500</v>
      </c>
      <c r="AU120" s="600">
        <v>12750</v>
      </c>
      <c r="AV120" s="601">
        <v>12750</v>
      </c>
      <c r="AW120" s="503">
        <v>5000</v>
      </c>
      <c r="AX120" s="501">
        <v>5000</v>
      </c>
      <c r="AY120" s="504">
        <v>5000</v>
      </c>
      <c r="AZ120" s="500"/>
      <c r="BA120" s="501"/>
      <c r="BB120" s="502"/>
      <c r="BC120" s="503">
        <v>25000</v>
      </c>
      <c r="BD120" s="501">
        <v>25525</v>
      </c>
      <c r="BE120" s="504">
        <v>25729</v>
      </c>
      <c r="BF120" s="500">
        <v>2000</v>
      </c>
      <c r="BG120" s="501">
        <v>20000</v>
      </c>
      <c r="BH120" s="502">
        <v>20000</v>
      </c>
      <c r="BI120" s="503">
        <v>9000</v>
      </c>
      <c r="BJ120" s="501">
        <v>9000</v>
      </c>
      <c r="BK120" s="504">
        <v>10000</v>
      </c>
      <c r="BL120" s="500"/>
      <c r="BM120" s="501"/>
      <c r="BN120" s="502"/>
      <c r="BO120" s="503">
        <v>25000</v>
      </c>
      <c r="BP120" s="501">
        <v>25000</v>
      </c>
      <c r="BQ120" s="504">
        <v>25000</v>
      </c>
      <c r="BR120" s="513">
        <f t="shared" si="19"/>
        <v>330800</v>
      </c>
      <c r="BS120" s="514">
        <f t="shared" si="19"/>
        <v>349259</v>
      </c>
      <c r="BT120" s="515">
        <f t="shared" si="19"/>
        <v>351546</v>
      </c>
      <c r="BU120" s="516"/>
      <c r="BV120" s="517"/>
      <c r="BW120" s="518"/>
    </row>
    <row r="121" spans="1:75" ht="36">
      <c r="A121" s="519" t="s">
        <v>49</v>
      </c>
      <c r="B121" s="520">
        <v>43</v>
      </c>
      <c r="C121" s="520" t="s">
        <v>27</v>
      </c>
      <c r="D121" s="521">
        <v>3227</v>
      </c>
      <c r="E121" s="522" t="s">
        <v>89</v>
      </c>
      <c r="F121" s="523" t="s">
        <v>686</v>
      </c>
      <c r="G121" s="497">
        <f t="shared" si="17"/>
        <v>83100</v>
      </c>
      <c r="H121" s="498">
        <f t="shared" si="17"/>
        <v>88426</v>
      </c>
      <c r="I121" s="499">
        <f t="shared" si="17"/>
        <v>84025</v>
      </c>
      <c r="J121" s="500">
        <v>1000</v>
      </c>
      <c r="K121" s="501">
        <v>1000</v>
      </c>
      <c r="L121" s="502">
        <v>1500</v>
      </c>
      <c r="M121" s="503">
        <v>3000</v>
      </c>
      <c r="N121" s="501">
        <v>3100</v>
      </c>
      <c r="O121" s="504">
        <v>3150</v>
      </c>
      <c r="P121" s="500"/>
      <c r="Q121" s="501"/>
      <c r="R121" s="502"/>
      <c r="S121" s="503">
        <v>1000</v>
      </c>
      <c r="T121" s="501">
        <v>1021</v>
      </c>
      <c r="U121" s="504">
        <v>1029</v>
      </c>
      <c r="V121" s="500">
        <v>2100</v>
      </c>
      <c r="W121" s="501">
        <v>2200</v>
      </c>
      <c r="X121" s="502">
        <v>2200</v>
      </c>
      <c r="Y121" s="505">
        <f t="shared" si="18"/>
        <v>7100</v>
      </c>
      <c r="Z121" s="506">
        <f t="shared" si="18"/>
        <v>7321</v>
      </c>
      <c r="AA121" s="507">
        <f t="shared" si="18"/>
        <v>7879</v>
      </c>
      <c r="AB121" s="500">
        <v>15000</v>
      </c>
      <c r="AC121" s="501">
        <v>15000</v>
      </c>
      <c r="AD121" s="502">
        <v>15000</v>
      </c>
      <c r="AE121" s="503">
        <v>10000</v>
      </c>
      <c r="AF121" s="501">
        <v>5000</v>
      </c>
      <c r="AG121" s="504">
        <v>3000</v>
      </c>
      <c r="AH121" s="500">
        <v>15000</v>
      </c>
      <c r="AI121" s="501">
        <v>20000</v>
      </c>
      <c r="AJ121" s="502">
        <v>20000</v>
      </c>
      <c r="AK121" s="503"/>
      <c r="AL121" s="501"/>
      <c r="AM121" s="504"/>
      <c r="AN121" s="500"/>
      <c r="AO121" s="501"/>
      <c r="AP121" s="502"/>
      <c r="AQ121" s="503">
        <v>8000</v>
      </c>
      <c r="AR121" s="501">
        <v>8000</v>
      </c>
      <c r="AS121" s="504">
        <v>8000</v>
      </c>
      <c r="AT121" s="500"/>
      <c r="AU121" s="501"/>
      <c r="AV121" s="502"/>
      <c r="AW121" s="503"/>
      <c r="AX121" s="501"/>
      <c r="AY121" s="504"/>
      <c r="AZ121" s="500"/>
      <c r="BA121" s="501"/>
      <c r="BB121" s="502"/>
      <c r="BC121" s="503">
        <v>5000</v>
      </c>
      <c r="BD121" s="501">
        <v>5105</v>
      </c>
      <c r="BE121" s="504">
        <v>5146</v>
      </c>
      <c r="BF121" s="500">
        <v>15000</v>
      </c>
      <c r="BG121" s="501">
        <v>20000</v>
      </c>
      <c r="BH121" s="502">
        <v>15000</v>
      </c>
      <c r="BI121" s="503">
        <v>6000</v>
      </c>
      <c r="BJ121" s="501">
        <v>6000</v>
      </c>
      <c r="BK121" s="504">
        <v>8000</v>
      </c>
      <c r="BL121" s="500"/>
      <c r="BM121" s="501"/>
      <c r="BN121" s="502"/>
      <c r="BO121" s="503">
        <v>2000</v>
      </c>
      <c r="BP121" s="501">
        <v>2000</v>
      </c>
      <c r="BQ121" s="504">
        <v>2000</v>
      </c>
      <c r="BR121" s="513">
        <f t="shared" si="19"/>
        <v>83100</v>
      </c>
      <c r="BS121" s="514">
        <f t="shared" si="19"/>
        <v>88426</v>
      </c>
      <c r="BT121" s="515">
        <f t="shared" si="19"/>
        <v>84025</v>
      </c>
      <c r="BU121" s="516"/>
      <c r="BV121" s="517"/>
      <c r="BW121" s="518"/>
    </row>
    <row r="122" spans="1:75" ht="36">
      <c r="A122" s="519" t="s">
        <v>49</v>
      </c>
      <c r="B122" s="520">
        <v>43</v>
      </c>
      <c r="C122" s="520" t="s">
        <v>27</v>
      </c>
      <c r="D122" s="521">
        <v>3231</v>
      </c>
      <c r="E122" s="522" t="s">
        <v>79</v>
      </c>
      <c r="F122" s="523" t="s">
        <v>686</v>
      </c>
      <c r="G122" s="497">
        <f t="shared" si="17"/>
        <v>606100</v>
      </c>
      <c r="H122" s="498">
        <f t="shared" si="17"/>
        <v>609059</v>
      </c>
      <c r="I122" s="499">
        <f t="shared" si="17"/>
        <v>612597</v>
      </c>
      <c r="J122" s="500">
        <v>1000</v>
      </c>
      <c r="K122" s="501">
        <v>1000</v>
      </c>
      <c r="L122" s="502">
        <v>1000</v>
      </c>
      <c r="M122" s="503">
        <v>59000</v>
      </c>
      <c r="N122" s="501">
        <v>59600</v>
      </c>
      <c r="O122" s="504">
        <v>59900</v>
      </c>
      <c r="P122" s="500">
        <v>10000</v>
      </c>
      <c r="Q122" s="501">
        <v>10000</v>
      </c>
      <c r="R122" s="502">
        <v>10000</v>
      </c>
      <c r="S122" s="503">
        <v>10000</v>
      </c>
      <c r="T122" s="501">
        <v>10210</v>
      </c>
      <c r="U122" s="504">
        <v>10292</v>
      </c>
      <c r="V122" s="500">
        <v>4800</v>
      </c>
      <c r="W122" s="501">
        <v>4900</v>
      </c>
      <c r="X122" s="502">
        <v>4900</v>
      </c>
      <c r="Y122" s="505">
        <f t="shared" si="18"/>
        <v>84800</v>
      </c>
      <c r="Z122" s="506">
        <f t="shared" si="18"/>
        <v>85710</v>
      </c>
      <c r="AA122" s="507">
        <f t="shared" si="18"/>
        <v>86092</v>
      </c>
      <c r="AB122" s="500">
        <v>70000</v>
      </c>
      <c r="AC122" s="501">
        <v>70000</v>
      </c>
      <c r="AD122" s="502">
        <v>70000</v>
      </c>
      <c r="AE122" s="503">
        <v>15000</v>
      </c>
      <c r="AF122" s="501">
        <v>15000</v>
      </c>
      <c r="AG122" s="504">
        <v>15000</v>
      </c>
      <c r="AH122" s="500">
        <v>25000</v>
      </c>
      <c r="AI122" s="501">
        <v>25000</v>
      </c>
      <c r="AJ122" s="502">
        <v>25000</v>
      </c>
      <c r="AK122" s="503"/>
      <c r="AL122" s="501"/>
      <c r="AM122" s="504"/>
      <c r="AN122" s="500">
        <v>25000</v>
      </c>
      <c r="AO122" s="501">
        <v>25000</v>
      </c>
      <c r="AP122" s="502">
        <v>25000</v>
      </c>
      <c r="AQ122" s="503">
        <v>15000</v>
      </c>
      <c r="AR122" s="501">
        <v>15000</v>
      </c>
      <c r="AS122" s="504">
        <v>15000</v>
      </c>
      <c r="AT122" s="599">
        <v>32500</v>
      </c>
      <c r="AU122" s="600">
        <v>33150</v>
      </c>
      <c r="AV122" s="601">
        <v>33150</v>
      </c>
      <c r="AW122" s="503">
        <v>10000</v>
      </c>
      <c r="AX122" s="501">
        <v>10000</v>
      </c>
      <c r="AY122" s="504">
        <v>10000</v>
      </c>
      <c r="AZ122" s="500">
        <v>20000</v>
      </c>
      <c r="BA122" s="501">
        <v>21000</v>
      </c>
      <c r="BB122" s="502">
        <v>21000</v>
      </c>
      <c r="BC122" s="503">
        <v>19000</v>
      </c>
      <c r="BD122" s="501">
        <v>19399</v>
      </c>
      <c r="BE122" s="504">
        <v>19555</v>
      </c>
      <c r="BF122" s="500">
        <v>135000</v>
      </c>
      <c r="BG122" s="501">
        <v>135000</v>
      </c>
      <c r="BH122" s="502">
        <v>135000</v>
      </c>
      <c r="BI122" s="503">
        <v>119000</v>
      </c>
      <c r="BJ122" s="501">
        <v>119000</v>
      </c>
      <c r="BK122" s="504">
        <v>122000</v>
      </c>
      <c r="BL122" s="500"/>
      <c r="BM122" s="501"/>
      <c r="BN122" s="502"/>
      <c r="BO122" s="503">
        <v>35800</v>
      </c>
      <c r="BP122" s="501">
        <v>35800</v>
      </c>
      <c r="BQ122" s="504">
        <v>35800</v>
      </c>
      <c r="BR122" s="513">
        <f t="shared" si="19"/>
        <v>606100</v>
      </c>
      <c r="BS122" s="514">
        <f t="shared" si="19"/>
        <v>609059</v>
      </c>
      <c r="BT122" s="515">
        <f t="shared" si="19"/>
        <v>612597</v>
      </c>
      <c r="BU122" s="516"/>
      <c r="BV122" s="517"/>
      <c r="BW122" s="518"/>
    </row>
    <row r="123" spans="1:75" ht="36">
      <c r="A123" s="519" t="s">
        <v>49</v>
      </c>
      <c r="B123" s="520">
        <v>43</v>
      </c>
      <c r="C123" s="520" t="s">
        <v>27</v>
      </c>
      <c r="D123" s="521">
        <v>3232</v>
      </c>
      <c r="E123" s="522" t="s">
        <v>80</v>
      </c>
      <c r="F123" s="523" t="s">
        <v>686</v>
      </c>
      <c r="G123" s="497">
        <f t="shared" si="17"/>
        <v>2318275</v>
      </c>
      <c r="H123" s="498">
        <f t="shared" si="17"/>
        <v>2304462</v>
      </c>
      <c r="I123" s="499">
        <f t="shared" si="17"/>
        <v>2160665</v>
      </c>
      <c r="J123" s="500">
        <v>100000</v>
      </c>
      <c r="K123" s="501">
        <v>100000</v>
      </c>
      <c r="L123" s="502">
        <v>100000</v>
      </c>
      <c r="M123" s="503">
        <v>40000</v>
      </c>
      <c r="N123" s="501">
        <v>40500</v>
      </c>
      <c r="O123" s="504">
        <v>40900</v>
      </c>
      <c r="P123" s="500">
        <v>10000</v>
      </c>
      <c r="Q123" s="501">
        <v>10000</v>
      </c>
      <c r="R123" s="502">
        <v>10000</v>
      </c>
      <c r="S123" s="503">
        <v>5500</v>
      </c>
      <c r="T123" s="501">
        <v>5615</v>
      </c>
      <c r="U123" s="504">
        <v>5660</v>
      </c>
      <c r="V123" s="500">
        <v>9800</v>
      </c>
      <c r="W123" s="501">
        <v>11500</v>
      </c>
      <c r="X123" s="502">
        <v>11500</v>
      </c>
      <c r="Y123" s="505">
        <f t="shared" si="18"/>
        <v>165300</v>
      </c>
      <c r="Z123" s="506">
        <f t="shared" si="18"/>
        <v>167615</v>
      </c>
      <c r="AA123" s="507">
        <f t="shared" si="18"/>
        <v>168060</v>
      </c>
      <c r="AB123" s="500">
        <v>65500</v>
      </c>
      <c r="AC123" s="501">
        <v>65500</v>
      </c>
      <c r="AD123" s="502">
        <v>65500</v>
      </c>
      <c r="AE123" s="503">
        <v>500000</v>
      </c>
      <c r="AF123" s="501">
        <v>500000</v>
      </c>
      <c r="AG123" s="504">
        <f>500000-105000</f>
        <v>395000</v>
      </c>
      <c r="AH123" s="500">
        <f>155000-100000</f>
        <v>55000</v>
      </c>
      <c r="AI123" s="501">
        <f>155000-20944</f>
        <v>134056</v>
      </c>
      <c r="AJ123" s="502">
        <f>155000-120146</f>
        <v>34854</v>
      </c>
      <c r="AK123" s="503">
        <v>95412</v>
      </c>
      <c r="AL123" s="501">
        <v>98222</v>
      </c>
      <c r="AM123" s="504">
        <v>102222</v>
      </c>
      <c r="AN123" s="500">
        <v>200000</v>
      </c>
      <c r="AO123" s="501">
        <v>200000</v>
      </c>
      <c r="AP123" s="502">
        <v>200000</v>
      </c>
      <c r="AQ123" s="503">
        <v>60000</v>
      </c>
      <c r="AR123" s="501">
        <v>60000</v>
      </c>
      <c r="AS123" s="504">
        <v>60000</v>
      </c>
      <c r="AT123" s="500">
        <v>55000</v>
      </c>
      <c r="AU123" s="501">
        <v>56100</v>
      </c>
      <c r="AV123" s="502">
        <v>56100</v>
      </c>
      <c r="AW123" s="503">
        <v>100000</v>
      </c>
      <c r="AX123" s="501">
        <v>120000</v>
      </c>
      <c r="AY123" s="504">
        <v>125000</v>
      </c>
      <c r="AZ123" s="500">
        <f>120000-49437</f>
        <v>70563</v>
      </c>
      <c r="BA123" s="501">
        <v>122000</v>
      </c>
      <c r="BB123" s="502">
        <v>122000</v>
      </c>
      <c r="BC123" s="602">
        <v>4000</v>
      </c>
      <c r="BD123" s="600">
        <v>4084</v>
      </c>
      <c r="BE123" s="603">
        <v>4116</v>
      </c>
      <c r="BF123" s="500">
        <v>330000</v>
      </c>
      <c r="BG123" s="501">
        <v>330000</v>
      </c>
      <c r="BH123" s="502">
        <v>330000</v>
      </c>
      <c r="BI123" s="503">
        <v>525000</v>
      </c>
      <c r="BJ123" s="501">
        <v>265000</v>
      </c>
      <c r="BK123" s="504">
        <v>310000</v>
      </c>
      <c r="BL123" s="500">
        <v>92500</v>
      </c>
      <c r="BM123" s="501">
        <v>165000</v>
      </c>
      <c r="BN123" s="502">
        <v>165000</v>
      </c>
      <c r="BO123" s="503"/>
      <c r="BP123" s="501">
        <v>16885</v>
      </c>
      <c r="BQ123" s="504">
        <v>22813</v>
      </c>
      <c r="BR123" s="513">
        <f t="shared" si="19"/>
        <v>2318275</v>
      </c>
      <c r="BS123" s="514">
        <f t="shared" si="19"/>
        <v>2304462</v>
      </c>
      <c r="BT123" s="515">
        <f t="shared" si="19"/>
        <v>2160665</v>
      </c>
      <c r="BU123" s="516"/>
      <c r="BV123" s="517"/>
      <c r="BW123" s="518"/>
    </row>
    <row r="124" spans="1:75" ht="36">
      <c r="A124" s="519" t="s">
        <v>49</v>
      </c>
      <c r="B124" s="520">
        <v>43</v>
      </c>
      <c r="C124" s="520" t="s">
        <v>27</v>
      </c>
      <c r="D124" s="521">
        <v>3233</v>
      </c>
      <c r="E124" s="522" t="s">
        <v>81</v>
      </c>
      <c r="F124" s="523" t="s">
        <v>686</v>
      </c>
      <c r="G124" s="497">
        <f t="shared" si="17"/>
        <v>1870679</v>
      </c>
      <c r="H124" s="498">
        <f t="shared" si="17"/>
        <v>1862678</v>
      </c>
      <c r="I124" s="499">
        <f t="shared" si="17"/>
        <v>1880320</v>
      </c>
      <c r="J124" s="500">
        <v>30000</v>
      </c>
      <c r="K124" s="501">
        <v>30000</v>
      </c>
      <c r="L124" s="502">
        <v>30000</v>
      </c>
      <c r="M124" s="503">
        <v>20000</v>
      </c>
      <c r="N124" s="501">
        <v>20200</v>
      </c>
      <c r="O124" s="504">
        <v>20500</v>
      </c>
      <c r="P124" s="500"/>
      <c r="Q124" s="501"/>
      <c r="R124" s="502"/>
      <c r="S124" s="503">
        <v>20000</v>
      </c>
      <c r="T124" s="501">
        <v>20420</v>
      </c>
      <c r="U124" s="504">
        <v>20583</v>
      </c>
      <c r="V124" s="500">
        <v>32500</v>
      </c>
      <c r="W124" s="501">
        <v>35000</v>
      </c>
      <c r="X124" s="502">
        <v>35000</v>
      </c>
      <c r="Y124" s="505">
        <f t="shared" si="18"/>
        <v>102500</v>
      </c>
      <c r="Z124" s="506">
        <f t="shared" si="18"/>
        <v>105620</v>
      </c>
      <c r="AA124" s="507">
        <f t="shared" si="18"/>
        <v>106083</v>
      </c>
      <c r="AB124" s="500">
        <v>70000</v>
      </c>
      <c r="AC124" s="501">
        <v>70000</v>
      </c>
      <c r="AD124" s="502">
        <v>70000</v>
      </c>
      <c r="AE124" s="503">
        <v>400000</v>
      </c>
      <c r="AF124" s="501">
        <v>380000</v>
      </c>
      <c r="AG124" s="504">
        <v>380000</v>
      </c>
      <c r="AH124" s="500">
        <v>61000</v>
      </c>
      <c r="AI124" s="501">
        <v>65000</v>
      </c>
      <c r="AJ124" s="502">
        <v>65000</v>
      </c>
      <c r="AK124" s="503">
        <v>280779</v>
      </c>
      <c r="AL124" s="501">
        <v>280888</v>
      </c>
      <c r="AM124" s="504">
        <v>280888</v>
      </c>
      <c r="AN124" s="500">
        <v>150000</v>
      </c>
      <c r="AO124" s="501">
        <v>150000</v>
      </c>
      <c r="AP124" s="502">
        <v>150000</v>
      </c>
      <c r="AQ124" s="503">
        <v>25000</v>
      </c>
      <c r="AR124" s="501">
        <v>25000</v>
      </c>
      <c r="AS124" s="504">
        <v>25000</v>
      </c>
      <c r="AT124" s="500">
        <v>15500</v>
      </c>
      <c r="AU124" s="501">
        <v>15810</v>
      </c>
      <c r="AV124" s="502">
        <v>15810</v>
      </c>
      <c r="AW124" s="503">
        <v>110000</v>
      </c>
      <c r="AX124" s="501">
        <v>110000</v>
      </c>
      <c r="AY124" s="504">
        <v>110000</v>
      </c>
      <c r="AZ124" s="500">
        <v>30000</v>
      </c>
      <c r="BA124" s="501">
        <v>32000</v>
      </c>
      <c r="BB124" s="502">
        <v>32000</v>
      </c>
      <c r="BC124" s="602">
        <v>21900</v>
      </c>
      <c r="BD124" s="600">
        <v>22360</v>
      </c>
      <c r="BE124" s="603">
        <v>22539</v>
      </c>
      <c r="BF124" s="500">
        <v>365000</v>
      </c>
      <c r="BG124" s="501">
        <v>365000</v>
      </c>
      <c r="BH124" s="502">
        <v>365000</v>
      </c>
      <c r="BI124" s="503">
        <v>179000</v>
      </c>
      <c r="BJ124" s="501">
        <v>183000</v>
      </c>
      <c r="BK124" s="504">
        <v>195000</v>
      </c>
      <c r="BL124" s="500">
        <v>45000</v>
      </c>
      <c r="BM124" s="501">
        <v>43000</v>
      </c>
      <c r="BN124" s="502">
        <v>48000</v>
      </c>
      <c r="BO124" s="503">
        <v>15000</v>
      </c>
      <c r="BP124" s="501">
        <v>15000</v>
      </c>
      <c r="BQ124" s="504">
        <v>15000</v>
      </c>
      <c r="BR124" s="513">
        <f t="shared" si="19"/>
        <v>1870679</v>
      </c>
      <c r="BS124" s="514">
        <f t="shared" si="19"/>
        <v>1862678</v>
      </c>
      <c r="BT124" s="515">
        <f t="shared" si="19"/>
        <v>1880320</v>
      </c>
      <c r="BU124" s="516"/>
      <c r="BV124" s="517"/>
      <c r="BW124" s="518"/>
    </row>
    <row r="125" spans="1:75" ht="36">
      <c r="A125" s="519" t="s">
        <v>49</v>
      </c>
      <c r="B125" s="520">
        <v>43</v>
      </c>
      <c r="C125" s="520" t="s">
        <v>27</v>
      </c>
      <c r="D125" s="521">
        <v>3234</v>
      </c>
      <c r="E125" s="522" t="s">
        <v>87</v>
      </c>
      <c r="F125" s="523" t="s">
        <v>686</v>
      </c>
      <c r="G125" s="497">
        <f t="shared" si="17"/>
        <v>669958</v>
      </c>
      <c r="H125" s="498">
        <f t="shared" si="17"/>
        <v>659730</v>
      </c>
      <c r="I125" s="499">
        <f t="shared" si="17"/>
        <v>661136</v>
      </c>
      <c r="J125" s="500">
        <v>1000</v>
      </c>
      <c r="K125" s="501">
        <v>1000</v>
      </c>
      <c r="L125" s="502">
        <v>1000</v>
      </c>
      <c r="M125" s="503">
        <v>45000</v>
      </c>
      <c r="N125" s="501">
        <v>45500</v>
      </c>
      <c r="O125" s="504">
        <v>45800</v>
      </c>
      <c r="P125" s="500">
        <v>5000</v>
      </c>
      <c r="Q125" s="501">
        <v>5000</v>
      </c>
      <c r="R125" s="502">
        <v>5000</v>
      </c>
      <c r="S125" s="503">
        <v>11000</v>
      </c>
      <c r="T125" s="501">
        <v>11231</v>
      </c>
      <c r="U125" s="504">
        <v>11321</v>
      </c>
      <c r="V125" s="500"/>
      <c r="W125" s="501"/>
      <c r="X125" s="502"/>
      <c r="Y125" s="505">
        <f t="shared" si="18"/>
        <v>62000</v>
      </c>
      <c r="Z125" s="506">
        <f t="shared" si="18"/>
        <v>62731</v>
      </c>
      <c r="AA125" s="507">
        <f t="shared" si="18"/>
        <v>63121</v>
      </c>
      <c r="AB125" s="500">
        <v>30000</v>
      </c>
      <c r="AC125" s="501">
        <v>30000</v>
      </c>
      <c r="AD125" s="502">
        <v>30000</v>
      </c>
      <c r="AE125" s="503">
        <v>20000</v>
      </c>
      <c r="AF125" s="501">
        <v>20000</v>
      </c>
      <c r="AG125" s="504">
        <v>20000</v>
      </c>
      <c r="AH125" s="500">
        <v>95000</v>
      </c>
      <c r="AI125" s="501">
        <v>80000</v>
      </c>
      <c r="AJ125" s="502">
        <v>80000</v>
      </c>
      <c r="AK125" s="503">
        <v>260458</v>
      </c>
      <c r="AL125" s="501">
        <v>262157</v>
      </c>
      <c r="AM125" s="504">
        <v>262157</v>
      </c>
      <c r="AN125" s="500">
        <v>25000</v>
      </c>
      <c r="AO125" s="501">
        <v>25000</v>
      </c>
      <c r="AP125" s="502">
        <v>25000</v>
      </c>
      <c r="AQ125" s="503">
        <v>7000</v>
      </c>
      <c r="AR125" s="501">
        <v>7000</v>
      </c>
      <c r="AS125" s="504">
        <v>7000</v>
      </c>
      <c r="AT125" s="500">
        <v>15000</v>
      </c>
      <c r="AU125" s="501">
        <v>15300</v>
      </c>
      <c r="AV125" s="502">
        <v>15300</v>
      </c>
      <c r="AW125" s="503">
        <v>10000</v>
      </c>
      <c r="AX125" s="501">
        <v>10000</v>
      </c>
      <c r="AY125" s="504">
        <v>10000</v>
      </c>
      <c r="AZ125" s="500">
        <v>40000</v>
      </c>
      <c r="BA125" s="501">
        <v>42000</v>
      </c>
      <c r="BB125" s="502">
        <v>43000</v>
      </c>
      <c r="BC125" s="602">
        <v>2000</v>
      </c>
      <c r="BD125" s="600">
        <v>2042</v>
      </c>
      <c r="BE125" s="603">
        <v>2058</v>
      </c>
      <c r="BF125" s="500">
        <v>50000</v>
      </c>
      <c r="BG125" s="501">
        <v>50000</v>
      </c>
      <c r="BH125" s="502">
        <v>50000</v>
      </c>
      <c r="BI125" s="503">
        <v>53000</v>
      </c>
      <c r="BJ125" s="501">
        <v>53000</v>
      </c>
      <c r="BK125" s="504">
        <v>53000</v>
      </c>
      <c r="BL125" s="500"/>
      <c r="BM125" s="501"/>
      <c r="BN125" s="502"/>
      <c r="BO125" s="503">
        <v>500</v>
      </c>
      <c r="BP125" s="501">
        <v>500</v>
      </c>
      <c r="BQ125" s="504">
        <v>500</v>
      </c>
      <c r="BR125" s="513">
        <f t="shared" si="19"/>
        <v>669958</v>
      </c>
      <c r="BS125" s="514">
        <f t="shared" si="19"/>
        <v>659730</v>
      </c>
      <c r="BT125" s="515">
        <f t="shared" si="19"/>
        <v>661136</v>
      </c>
      <c r="BU125" s="516"/>
      <c r="BV125" s="517"/>
      <c r="BW125" s="518"/>
    </row>
    <row r="126" spans="1:75" ht="36">
      <c r="A126" s="519" t="s">
        <v>49</v>
      </c>
      <c r="B126" s="520">
        <v>43</v>
      </c>
      <c r="C126" s="520" t="s">
        <v>27</v>
      </c>
      <c r="D126" s="521">
        <v>3235</v>
      </c>
      <c r="E126" s="522" t="s">
        <v>88</v>
      </c>
      <c r="F126" s="523" t="s">
        <v>686</v>
      </c>
      <c r="G126" s="497">
        <f t="shared" si="17"/>
        <v>952264</v>
      </c>
      <c r="H126" s="498">
        <f t="shared" si="17"/>
        <v>983963</v>
      </c>
      <c r="I126" s="499">
        <f t="shared" si="17"/>
        <v>987531</v>
      </c>
      <c r="J126" s="500">
        <v>10000</v>
      </c>
      <c r="K126" s="501">
        <v>11000</v>
      </c>
      <c r="L126" s="502">
        <v>12000</v>
      </c>
      <c r="M126" s="503">
        <v>40000</v>
      </c>
      <c r="N126" s="501">
        <v>40500</v>
      </c>
      <c r="O126" s="504">
        <v>40900</v>
      </c>
      <c r="P126" s="500"/>
      <c r="Q126" s="501"/>
      <c r="R126" s="502"/>
      <c r="S126" s="503">
        <v>17000</v>
      </c>
      <c r="T126" s="501">
        <v>17357</v>
      </c>
      <c r="U126" s="504">
        <v>17496</v>
      </c>
      <c r="V126" s="500">
        <v>2000</v>
      </c>
      <c r="W126" s="501">
        <v>2100</v>
      </c>
      <c r="X126" s="502">
        <v>2100</v>
      </c>
      <c r="Y126" s="505">
        <f t="shared" si="18"/>
        <v>69000</v>
      </c>
      <c r="Z126" s="506">
        <f t="shared" si="18"/>
        <v>70957</v>
      </c>
      <c r="AA126" s="507">
        <f t="shared" si="18"/>
        <v>72496</v>
      </c>
      <c r="AB126" s="500"/>
      <c r="AC126" s="501"/>
      <c r="AD126" s="502"/>
      <c r="AE126" s="503">
        <f>200000+6320</f>
        <v>206320</v>
      </c>
      <c r="AF126" s="501">
        <v>200000</v>
      </c>
      <c r="AG126" s="504">
        <v>200000</v>
      </c>
      <c r="AH126" s="500">
        <v>25000</v>
      </c>
      <c r="AI126" s="501">
        <v>25000</v>
      </c>
      <c r="AJ126" s="502">
        <v>25000</v>
      </c>
      <c r="AK126" s="503"/>
      <c r="AL126" s="501"/>
      <c r="AM126" s="504"/>
      <c r="AN126" s="500">
        <v>160000</v>
      </c>
      <c r="AO126" s="501">
        <v>160000</v>
      </c>
      <c r="AP126" s="502">
        <v>160000</v>
      </c>
      <c r="AQ126" s="503">
        <v>26000</v>
      </c>
      <c r="AR126" s="501">
        <v>27000</v>
      </c>
      <c r="AS126" s="504">
        <v>28000</v>
      </c>
      <c r="AT126" s="500">
        <v>18000</v>
      </c>
      <c r="AU126" s="501">
        <v>18360</v>
      </c>
      <c r="AV126" s="502">
        <v>18360</v>
      </c>
      <c r="AW126" s="503">
        <v>80000</v>
      </c>
      <c r="AX126" s="501">
        <v>80000</v>
      </c>
      <c r="AY126" s="504">
        <v>80000</v>
      </c>
      <c r="AZ126" s="500"/>
      <c r="BA126" s="501"/>
      <c r="BB126" s="502"/>
      <c r="BC126" s="602">
        <f>126000-32056</f>
        <v>93944</v>
      </c>
      <c r="BD126" s="600">
        <v>128646</v>
      </c>
      <c r="BE126" s="603">
        <v>129675</v>
      </c>
      <c r="BF126" s="500">
        <v>65000</v>
      </c>
      <c r="BG126" s="501">
        <v>65000</v>
      </c>
      <c r="BH126" s="502">
        <v>65000</v>
      </c>
      <c r="BI126" s="503">
        <v>209000</v>
      </c>
      <c r="BJ126" s="501">
        <v>209000</v>
      </c>
      <c r="BK126" s="504">
        <v>209000</v>
      </c>
      <c r="BL126" s="500"/>
      <c r="BM126" s="501"/>
      <c r="BN126" s="502"/>
      <c r="BO126" s="503"/>
      <c r="BP126" s="501"/>
      <c r="BQ126" s="504"/>
      <c r="BR126" s="513">
        <f t="shared" si="19"/>
        <v>952264</v>
      </c>
      <c r="BS126" s="514">
        <f t="shared" si="19"/>
        <v>983963</v>
      </c>
      <c r="BT126" s="515">
        <f t="shared" si="19"/>
        <v>987531</v>
      </c>
      <c r="BU126" s="516"/>
      <c r="BV126" s="517"/>
      <c r="BW126" s="518"/>
    </row>
    <row r="127" spans="1:75" ht="36">
      <c r="A127" s="519" t="s">
        <v>49</v>
      </c>
      <c r="B127" s="520">
        <v>43</v>
      </c>
      <c r="C127" s="520" t="s">
        <v>27</v>
      </c>
      <c r="D127" s="521">
        <v>3236</v>
      </c>
      <c r="E127" s="522" t="s">
        <v>54</v>
      </c>
      <c r="F127" s="523" t="s">
        <v>686</v>
      </c>
      <c r="G127" s="497">
        <f t="shared" si="17"/>
        <v>376500</v>
      </c>
      <c r="H127" s="498">
        <f t="shared" si="17"/>
        <v>383742</v>
      </c>
      <c r="I127" s="499">
        <f t="shared" si="17"/>
        <v>385458</v>
      </c>
      <c r="J127" s="500"/>
      <c r="K127" s="501"/>
      <c r="L127" s="502"/>
      <c r="M127" s="503">
        <v>15000</v>
      </c>
      <c r="N127" s="501">
        <v>15200</v>
      </c>
      <c r="O127" s="504">
        <v>15400</v>
      </c>
      <c r="P127" s="500">
        <v>2000</v>
      </c>
      <c r="Q127" s="501">
        <v>2000</v>
      </c>
      <c r="R127" s="502">
        <v>2000</v>
      </c>
      <c r="S127" s="503">
        <v>6000</v>
      </c>
      <c r="T127" s="501">
        <v>6000</v>
      </c>
      <c r="U127" s="504">
        <v>6000</v>
      </c>
      <c r="V127" s="500">
        <v>5500</v>
      </c>
      <c r="W127" s="501">
        <v>6000</v>
      </c>
      <c r="X127" s="502">
        <v>6000</v>
      </c>
      <c r="Y127" s="505">
        <f t="shared" si="18"/>
        <v>28500</v>
      </c>
      <c r="Z127" s="506">
        <f t="shared" si="18"/>
        <v>29200</v>
      </c>
      <c r="AA127" s="507">
        <f t="shared" si="18"/>
        <v>29400</v>
      </c>
      <c r="AB127" s="500"/>
      <c r="AC127" s="501"/>
      <c r="AD127" s="502"/>
      <c r="AE127" s="503">
        <v>140000</v>
      </c>
      <c r="AF127" s="501">
        <v>140000</v>
      </c>
      <c r="AG127" s="504">
        <v>140000</v>
      </c>
      <c r="AH127" s="500">
        <v>15000</v>
      </c>
      <c r="AI127" s="501">
        <v>20000</v>
      </c>
      <c r="AJ127" s="502">
        <v>20000</v>
      </c>
      <c r="AK127" s="503"/>
      <c r="AL127" s="501"/>
      <c r="AM127" s="504"/>
      <c r="AN127" s="500">
        <v>10000</v>
      </c>
      <c r="AO127" s="501">
        <v>10000</v>
      </c>
      <c r="AP127" s="502">
        <v>10000</v>
      </c>
      <c r="AQ127" s="503">
        <v>32500</v>
      </c>
      <c r="AR127" s="501">
        <v>34000</v>
      </c>
      <c r="AS127" s="504">
        <v>35500</v>
      </c>
      <c r="AT127" s="500"/>
      <c r="AU127" s="501"/>
      <c r="AV127" s="502"/>
      <c r="AW127" s="503">
        <v>110000</v>
      </c>
      <c r="AX127" s="501">
        <v>110000</v>
      </c>
      <c r="AY127" s="504">
        <v>110000</v>
      </c>
      <c r="AZ127" s="500">
        <v>6000</v>
      </c>
      <c r="BA127" s="501">
        <v>6000</v>
      </c>
      <c r="BB127" s="502">
        <v>6000</v>
      </c>
      <c r="BC127" s="602">
        <v>2000</v>
      </c>
      <c r="BD127" s="600">
        <v>2042</v>
      </c>
      <c r="BE127" s="603">
        <v>2058</v>
      </c>
      <c r="BF127" s="500"/>
      <c r="BG127" s="501"/>
      <c r="BH127" s="502"/>
      <c r="BI127" s="503">
        <v>23000</v>
      </c>
      <c r="BJ127" s="501">
        <v>23000</v>
      </c>
      <c r="BK127" s="504">
        <v>23000</v>
      </c>
      <c r="BL127" s="500"/>
      <c r="BM127" s="501"/>
      <c r="BN127" s="502"/>
      <c r="BO127" s="503">
        <v>9500</v>
      </c>
      <c r="BP127" s="501">
        <v>9500</v>
      </c>
      <c r="BQ127" s="504">
        <v>9500</v>
      </c>
      <c r="BR127" s="513">
        <f t="shared" si="19"/>
        <v>376500</v>
      </c>
      <c r="BS127" s="514">
        <f t="shared" si="19"/>
        <v>383742</v>
      </c>
      <c r="BT127" s="515">
        <f t="shared" si="19"/>
        <v>385458</v>
      </c>
      <c r="BU127" s="516"/>
      <c r="BV127" s="517"/>
      <c r="BW127" s="518"/>
    </row>
    <row r="128" spans="1:75" ht="36">
      <c r="A128" s="519" t="s">
        <v>49</v>
      </c>
      <c r="B128" s="520">
        <v>43</v>
      </c>
      <c r="C128" s="520" t="s">
        <v>27</v>
      </c>
      <c r="D128" s="521">
        <v>3237</v>
      </c>
      <c r="E128" s="522" t="s">
        <v>62</v>
      </c>
      <c r="F128" s="523" t="s">
        <v>686</v>
      </c>
      <c r="G128" s="497">
        <f t="shared" si="17"/>
        <v>9408062</v>
      </c>
      <c r="H128" s="498">
        <f t="shared" si="17"/>
        <v>9751643</v>
      </c>
      <c r="I128" s="499">
        <f t="shared" si="17"/>
        <v>10207073</v>
      </c>
      <c r="J128" s="500">
        <v>1100000</v>
      </c>
      <c r="K128" s="501">
        <v>1150000</v>
      </c>
      <c r="L128" s="502">
        <v>1200000</v>
      </c>
      <c r="M128" s="503">
        <v>20000</v>
      </c>
      <c r="N128" s="501">
        <v>20500</v>
      </c>
      <c r="O128" s="504">
        <v>20700</v>
      </c>
      <c r="P128" s="500">
        <v>15000</v>
      </c>
      <c r="Q128" s="501">
        <v>15000</v>
      </c>
      <c r="R128" s="502">
        <v>15000</v>
      </c>
      <c r="S128" s="503">
        <v>33500</v>
      </c>
      <c r="T128" s="501">
        <v>34203</v>
      </c>
      <c r="U128" s="504">
        <v>34477</v>
      </c>
      <c r="V128" s="500">
        <v>39500</v>
      </c>
      <c r="W128" s="501">
        <v>42600</v>
      </c>
      <c r="X128" s="502">
        <v>42600</v>
      </c>
      <c r="Y128" s="505">
        <f t="shared" si="18"/>
        <v>1208000</v>
      </c>
      <c r="Z128" s="506">
        <f t="shared" si="18"/>
        <v>1262303</v>
      </c>
      <c r="AA128" s="507">
        <f t="shared" si="18"/>
        <v>1312777</v>
      </c>
      <c r="AB128" s="500">
        <f>450000-231795</f>
        <v>218205</v>
      </c>
      <c r="AC128" s="501">
        <v>450000</v>
      </c>
      <c r="AD128" s="502">
        <v>450000</v>
      </c>
      <c r="AE128" s="503">
        <v>1233520</v>
      </c>
      <c r="AF128" s="501">
        <v>1100000</v>
      </c>
      <c r="AG128" s="504">
        <v>1000000</v>
      </c>
      <c r="AH128" s="500">
        <v>186300</v>
      </c>
      <c r="AI128" s="501">
        <v>185000</v>
      </c>
      <c r="AJ128" s="502">
        <v>185000</v>
      </c>
      <c r="AK128" s="503">
        <v>3224670</v>
      </c>
      <c r="AL128" s="501">
        <v>3197592</v>
      </c>
      <c r="AM128" s="504">
        <v>3289395</v>
      </c>
      <c r="AN128" s="500">
        <f>320000-63801</f>
        <v>256199</v>
      </c>
      <c r="AO128" s="501">
        <f>320000-95000</f>
        <v>225000</v>
      </c>
      <c r="AP128" s="502">
        <f>320000-95000</f>
        <v>225000</v>
      </c>
      <c r="AQ128" s="503">
        <v>120000</v>
      </c>
      <c r="AR128" s="501">
        <v>148000</v>
      </c>
      <c r="AS128" s="504">
        <v>151000</v>
      </c>
      <c r="AT128" s="500">
        <v>656000</v>
      </c>
      <c r="AU128" s="501">
        <v>669120</v>
      </c>
      <c r="AV128" s="502">
        <v>669120</v>
      </c>
      <c r="AW128" s="503">
        <f>800000-300000</f>
        <v>500000</v>
      </c>
      <c r="AX128" s="501">
        <f>800000-300000</f>
        <v>500000</v>
      </c>
      <c r="AY128" s="504">
        <f>800000-300000</f>
        <v>500000</v>
      </c>
      <c r="AZ128" s="500"/>
      <c r="BA128" s="501"/>
      <c r="BB128" s="502"/>
      <c r="BC128" s="503">
        <v>17500</v>
      </c>
      <c r="BD128" s="501">
        <v>17858</v>
      </c>
      <c r="BE128" s="504">
        <v>18011</v>
      </c>
      <c r="BF128" s="500">
        <v>932550</v>
      </c>
      <c r="BG128" s="501">
        <v>1100000</v>
      </c>
      <c r="BH128" s="502">
        <v>1500000</v>
      </c>
      <c r="BI128" s="503">
        <v>583770</v>
      </c>
      <c r="BJ128" s="501">
        <v>585770</v>
      </c>
      <c r="BK128" s="504">
        <v>585770</v>
      </c>
      <c r="BL128" s="500">
        <v>250348</v>
      </c>
      <c r="BM128" s="501">
        <v>290000</v>
      </c>
      <c r="BN128" s="502">
        <v>300000</v>
      </c>
      <c r="BO128" s="503">
        <v>21000</v>
      </c>
      <c r="BP128" s="501">
        <v>21000</v>
      </c>
      <c r="BQ128" s="504">
        <v>21000</v>
      </c>
      <c r="BR128" s="513">
        <f t="shared" si="19"/>
        <v>9408062</v>
      </c>
      <c r="BS128" s="514">
        <f t="shared" si="19"/>
        <v>9751643</v>
      </c>
      <c r="BT128" s="515">
        <f t="shared" si="19"/>
        <v>10207073</v>
      </c>
      <c r="BU128" s="516"/>
      <c r="BV128" s="517"/>
      <c r="BW128" s="518"/>
    </row>
    <row r="129" spans="1:75" ht="36">
      <c r="A129" s="519" t="s">
        <v>49</v>
      </c>
      <c r="B129" s="520">
        <v>43</v>
      </c>
      <c r="C129" s="520" t="s">
        <v>27</v>
      </c>
      <c r="D129" s="521">
        <v>3238</v>
      </c>
      <c r="E129" s="522" t="s">
        <v>82</v>
      </c>
      <c r="F129" s="523" t="s">
        <v>686</v>
      </c>
      <c r="G129" s="497">
        <f t="shared" si="17"/>
        <v>562944</v>
      </c>
      <c r="H129" s="498">
        <f t="shared" si="17"/>
        <v>414039</v>
      </c>
      <c r="I129" s="499">
        <f t="shared" si="17"/>
        <v>414767</v>
      </c>
      <c r="J129" s="500">
        <v>5000</v>
      </c>
      <c r="K129" s="501">
        <v>5000</v>
      </c>
      <c r="L129" s="502">
        <v>5000</v>
      </c>
      <c r="M129" s="503">
        <v>7000</v>
      </c>
      <c r="N129" s="501">
        <v>7100</v>
      </c>
      <c r="O129" s="504">
        <v>7200</v>
      </c>
      <c r="P129" s="500">
        <v>1000</v>
      </c>
      <c r="Q129" s="501">
        <v>1000</v>
      </c>
      <c r="R129" s="502">
        <v>1000</v>
      </c>
      <c r="S129" s="503">
        <v>500</v>
      </c>
      <c r="T129" s="501">
        <v>510</v>
      </c>
      <c r="U129" s="504">
        <v>515</v>
      </c>
      <c r="V129" s="500">
        <v>960</v>
      </c>
      <c r="W129" s="501">
        <v>960</v>
      </c>
      <c r="X129" s="502">
        <v>960</v>
      </c>
      <c r="Y129" s="505">
        <f t="shared" si="18"/>
        <v>14460</v>
      </c>
      <c r="Z129" s="506">
        <f t="shared" si="18"/>
        <v>14570</v>
      </c>
      <c r="AA129" s="507">
        <f t="shared" si="18"/>
        <v>14675</v>
      </c>
      <c r="AB129" s="500">
        <v>8000</v>
      </c>
      <c r="AC129" s="501">
        <v>8000</v>
      </c>
      <c r="AD129" s="502">
        <v>8000</v>
      </c>
      <c r="AE129" s="503">
        <v>120000</v>
      </c>
      <c r="AF129" s="501">
        <v>120000</v>
      </c>
      <c r="AG129" s="504">
        <v>120000</v>
      </c>
      <c r="AH129" s="500">
        <v>35000</v>
      </c>
      <c r="AI129" s="501">
        <v>35500</v>
      </c>
      <c r="AJ129" s="502">
        <v>36000</v>
      </c>
      <c r="AK129" s="503">
        <v>85000</v>
      </c>
      <c r="AL129" s="501">
        <v>85000</v>
      </c>
      <c r="AM129" s="504">
        <v>85000</v>
      </c>
      <c r="AN129" s="500">
        <v>5000</v>
      </c>
      <c r="AO129" s="501">
        <v>5000</v>
      </c>
      <c r="AP129" s="502">
        <v>5000</v>
      </c>
      <c r="AQ129" s="503">
        <v>20000</v>
      </c>
      <c r="AR129" s="501">
        <v>20000</v>
      </c>
      <c r="AS129" s="504">
        <v>20000</v>
      </c>
      <c r="AT129" s="599">
        <v>8484</v>
      </c>
      <c r="AU129" s="600">
        <v>8654</v>
      </c>
      <c r="AV129" s="601">
        <v>8654</v>
      </c>
      <c r="AW129" s="503">
        <v>10000</v>
      </c>
      <c r="AX129" s="501">
        <v>10000</v>
      </c>
      <c r="AY129" s="504">
        <v>10000</v>
      </c>
      <c r="AZ129" s="500"/>
      <c r="BA129" s="501"/>
      <c r="BB129" s="502"/>
      <c r="BC129" s="503">
        <v>15000</v>
      </c>
      <c r="BD129" s="501">
        <v>15315</v>
      </c>
      <c r="BE129" s="504">
        <v>15438</v>
      </c>
      <c r="BF129" s="500">
        <v>210000</v>
      </c>
      <c r="BG129" s="501">
        <v>60000</v>
      </c>
      <c r="BH129" s="502">
        <v>60000</v>
      </c>
      <c r="BI129" s="503">
        <v>20000</v>
      </c>
      <c r="BJ129" s="501">
        <v>20000</v>
      </c>
      <c r="BK129" s="504">
        <v>20000</v>
      </c>
      <c r="BL129" s="500"/>
      <c r="BM129" s="501"/>
      <c r="BN129" s="502"/>
      <c r="BO129" s="503">
        <v>12000</v>
      </c>
      <c r="BP129" s="501">
        <v>12000</v>
      </c>
      <c r="BQ129" s="504">
        <v>12000</v>
      </c>
      <c r="BR129" s="513">
        <f t="shared" si="19"/>
        <v>562944</v>
      </c>
      <c r="BS129" s="514">
        <f t="shared" si="19"/>
        <v>414039</v>
      </c>
      <c r="BT129" s="515">
        <f t="shared" si="19"/>
        <v>414767</v>
      </c>
      <c r="BU129" s="516"/>
      <c r="BV129" s="517"/>
      <c r="BW129" s="518"/>
    </row>
    <row r="130" spans="1:75" ht="36">
      <c r="A130" s="519" t="s">
        <v>49</v>
      </c>
      <c r="B130" s="520">
        <v>43</v>
      </c>
      <c r="C130" s="520" t="s">
        <v>27</v>
      </c>
      <c r="D130" s="521">
        <v>3239</v>
      </c>
      <c r="E130" s="522" t="s">
        <v>66</v>
      </c>
      <c r="F130" s="523" t="s">
        <v>686</v>
      </c>
      <c r="G130" s="497">
        <f t="shared" si="17"/>
        <v>1557777</v>
      </c>
      <c r="H130" s="498">
        <f t="shared" si="17"/>
        <v>1694040</v>
      </c>
      <c r="I130" s="499">
        <f t="shared" si="17"/>
        <v>1751777</v>
      </c>
      <c r="J130" s="500">
        <v>25000</v>
      </c>
      <c r="K130" s="501">
        <v>25000</v>
      </c>
      <c r="L130" s="502">
        <v>25000</v>
      </c>
      <c r="M130" s="503">
        <v>40000</v>
      </c>
      <c r="N130" s="501">
        <v>40500</v>
      </c>
      <c r="O130" s="504">
        <v>40900</v>
      </c>
      <c r="P130" s="500">
        <v>13000</v>
      </c>
      <c r="Q130" s="501">
        <v>13000</v>
      </c>
      <c r="R130" s="502">
        <v>13000</v>
      </c>
      <c r="S130" s="503">
        <v>18500</v>
      </c>
      <c r="T130" s="501">
        <v>18888</v>
      </c>
      <c r="U130" s="504">
        <v>19040</v>
      </c>
      <c r="V130" s="500">
        <v>52500</v>
      </c>
      <c r="W130" s="501">
        <v>54600</v>
      </c>
      <c r="X130" s="502">
        <v>54600</v>
      </c>
      <c r="Y130" s="505">
        <f t="shared" si="18"/>
        <v>149000</v>
      </c>
      <c r="Z130" s="506">
        <f t="shared" si="18"/>
        <v>151988</v>
      </c>
      <c r="AA130" s="507">
        <f t="shared" si="18"/>
        <v>152540</v>
      </c>
      <c r="AB130" s="500">
        <v>140000</v>
      </c>
      <c r="AC130" s="501">
        <v>140000</v>
      </c>
      <c r="AD130" s="502">
        <v>140000</v>
      </c>
      <c r="AE130" s="503">
        <v>115000</v>
      </c>
      <c r="AF130" s="501">
        <v>115000</v>
      </c>
      <c r="AG130" s="504">
        <v>115000</v>
      </c>
      <c r="AH130" s="500">
        <f>335000-300000</f>
        <v>35000</v>
      </c>
      <c r="AI130" s="501">
        <f>335000-205000</f>
        <v>130000</v>
      </c>
      <c r="AJ130" s="502">
        <f>335000-205000</f>
        <v>130000</v>
      </c>
      <c r="AK130" s="503">
        <v>300746</v>
      </c>
      <c r="AL130" s="501">
        <v>300746</v>
      </c>
      <c r="AM130" s="504">
        <v>300746</v>
      </c>
      <c r="AN130" s="500">
        <v>50000</v>
      </c>
      <c r="AO130" s="501">
        <v>50000</v>
      </c>
      <c r="AP130" s="502">
        <v>50000</v>
      </c>
      <c r="AQ130" s="503">
        <v>117500</v>
      </c>
      <c r="AR130" s="501">
        <v>120000</v>
      </c>
      <c r="AS130" s="504">
        <v>121000</v>
      </c>
      <c r="AT130" s="599">
        <v>136731</v>
      </c>
      <c r="AU130" s="600">
        <v>139466</v>
      </c>
      <c r="AV130" s="601">
        <v>139466</v>
      </c>
      <c r="AW130" s="503">
        <v>60000</v>
      </c>
      <c r="AX130" s="501">
        <v>60000</v>
      </c>
      <c r="AY130" s="504">
        <v>60000</v>
      </c>
      <c r="AZ130" s="500">
        <v>30000</v>
      </c>
      <c r="BA130" s="501">
        <v>31000</v>
      </c>
      <c r="BB130" s="502">
        <v>31000</v>
      </c>
      <c r="BC130" s="503">
        <v>7700</v>
      </c>
      <c r="BD130" s="501">
        <v>7862</v>
      </c>
      <c r="BE130" s="504">
        <v>7925</v>
      </c>
      <c r="BF130" s="500">
        <v>295000</v>
      </c>
      <c r="BG130" s="501">
        <v>300000</v>
      </c>
      <c r="BH130" s="502">
        <v>300000</v>
      </c>
      <c r="BI130" s="503">
        <v>34000</v>
      </c>
      <c r="BJ130" s="501">
        <v>56000</v>
      </c>
      <c r="BK130" s="504">
        <v>66000</v>
      </c>
      <c r="BL130" s="500">
        <v>44000</v>
      </c>
      <c r="BM130" s="501">
        <v>49000</v>
      </c>
      <c r="BN130" s="502">
        <v>95000</v>
      </c>
      <c r="BO130" s="503">
        <v>43100</v>
      </c>
      <c r="BP130" s="501">
        <v>42978</v>
      </c>
      <c r="BQ130" s="504">
        <v>43100</v>
      </c>
      <c r="BR130" s="513">
        <f t="shared" si="19"/>
        <v>1557777</v>
      </c>
      <c r="BS130" s="514">
        <f t="shared" si="19"/>
        <v>1694040</v>
      </c>
      <c r="BT130" s="515">
        <f t="shared" si="19"/>
        <v>1751777</v>
      </c>
      <c r="BU130" s="516"/>
      <c r="BV130" s="517"/>
      <c r="BW130" s="518"/>
    </row>
    <row r="131" spans="1:75" ht="36">
      <c r="A131" s="519" t="s">
        <v>49</v>
      </c>
      <c r="B131" s="520">
        <v>43</v>
      </c>
      <c r="C131" s="520" t="s">
        <v>27</v>
      </c>
      <c r="D131" s="521">
        <v>3241</v>
      </c>
      <c r="E131" s="522" t="s">
        <v>67</v>
      </c>
      <c r="F131" s="523" t="s">
        <v>686</v>
      </c>
      <c r="G131" s="497">
        <f t="shared" si="17"/>
        <v>1499172</v>
      </c>
      <c r="H131" s="498">
        <f t="shared" si="17"/>
        <v>1509426</v>
      </c>
      <c r="I131" s="499">
        <f t="shared" si="17"/>
        <v>1598149</v>
      </c>
      <c r="J131" s="500">
        <v>350000</v>
      </c>
      <c r="K131" s="501">
        <v>370000</v>
      </c>
      <c r="L131" s="502">
        <v>400000</v>
      </c>
      <c r="M131" s="503">
        <v>3000</v>
      </c>
      <c r="N131" s="501">
        <v>3100</v>
      </c>
      <c r="O131" s="504">
        <v>3200</v>
      </c>
      <c r="P131" s="500"/>
      <c r="Q131" s="501"/>
      <c r="R131" s="502"/>
      <c r="S131" s="503">
        <v>5000</v>
      </c>
      <c r="T131" s="501">
        <v>5105</v>
      </c>
      <c r="U131" s="504">
        <v>5146</v>
      </c>
      <c r="V131" s="500">
        <v>18800</v>
      </c>
      <c r="W131" s="501">
        <v>21000</v>
      </c>
      <c r="X131" s="502">
        <v>21000</v>
      </c>
      <c r="Y131" s="505">
        <f t="shared" si="18"/>
        <v>376800</v>
      </c>
      <c r="Z131" s="506">
        <f t="shared" si="18"/>
        <v>399205</v>
      </c>
      <c r="AA131" s="507">
        <f t="shared" si="18"/>
        <v>429346</v>
      </c>
      <c r="AB131" s="500">
        <v>150000</v>
      </c>
      <c r="AC131" s="501">
        <v>150000</v>
      </c>
      <c r="AD131" s="502">
        <v>150000</v>
      </c>
      <c r="AE131" s="503">
        <f>30000+22680</f>
        <v>52680</v>
      </c>
      <c r="AF131" s="501">
        <f>30000+10000</f>
        <v>40000</v>
      </c>
      <c r="AG131" s="504">
        <f>30000+30000</f>
        <v>60000</v>
      </c>
      <c r="AH131" s="500">
        <v>20000</v>
      </c>
      <c r="AI131" s="501">
        <v>20000</v>
      </c>
      <c r="AJ131" s="502">
        <v>20000</v>
      </c>
      <c r="AK131" s="503">
        <v>91622</v>
      </c>
      <c r="AL131" s="501">
        <v>97125</v>
      </c>
      <c r="AM131" s="504">
        <v>105662</v>
      </c>
      <c r="AN131" s="500">
        <v>30000</v>
      </c>
      <c r="AO131" s="501">
        <v>30000</v>
      </c>
      <c r="AP131" s="502">
        <v>30000</v>
      </c>
      <c r="AQ131" s="503">
        <v>85000</v>
      </c>
      <c r="AR131" s="501">
        <v>86000</v>
      </c>
      <c r="AS131" s="504">
        <v>87000</v>
      </c>
      <c r="AT131" s="599">
        <v>24000</v>
      </c>
      <c r="AU131" s="600">
        <v>24480</v>
      </c>
      <c r="AV131" s="601">
        <v>24480</v>
      </c>
      <c r="AW131" s="503">
        <v>80000</v>
      </c>
      <c r="AX131" s="501">
        <v>80000</v>
      </c>
      <c r="AY131" s="504">
        <v>80000</v>
      </c>
      <c r="AZ131" s="500"/>
      <c r="BA131" s="501"/>
      <c r="BB131" s="502"/>
      <c r="BC131" s="503">
        <v>5500</v>
      </c>
      <c r="BD131" s="501">
        <v>5616</v>
      </c>
      <c r="BE131" s="504">
        <v>5661</v>
      </c>
      <c r="BF131" s="500">
        <v>380000</v>
      </c>
      <c r="BG131" s="501">
        <v>380000</v>
      </c>
      <c r="BH131" s="502">
        <v>380000</v>
      </c>
      <c r="BI131" s="503">
        <v>172000</v>
      </c>
      <c r="BJ131" s="501">
        <v>160000</v>
      </c>
      <c r="BK131" s="504">
        <v>187000</v>
      </c>
      <c r="BL131" s="500">
        <f>11570+18000</f>
        <v>29570</v>
      </c>
      <c r="BM131" s="501">
        <f>15000+20000</f>
        <v>35000</v>
      </c>
      <c r="BN131" s="502">
        <f>17000+20000</f>
        <v>37000</v>
      </c>
      <c r="BO131" s="503">
        <v>2000</v>
      </c>
      <c r="BP131" s="501">
        <v>2000</v>
      </c>
      <c r="BQ131" s="504">
        <v>2000</v>
      </c>
      <c r="BR131" s="513">
        <f t="shared" si="19"/>
        <v>1499172</v>
      </c>
      <c r="BS131" s="514">
        <f t="shared" si="19"/>
        <v>1509426</v>
      </c>
      <c r="BT131" s="515">
        <f t="shared" si="19"/>
        <v>1598149</v>
      </c>
      <c r="BU131" s="516"/>
      <c r="BV131" s="517"/>
      <c r="BW131" s="518"/>
    </row>
    <row r="132" spans="1:75" ht="36">
      <c r="A132" s="519" t="s">
        <v>49</v>
      </c>
      <c r="B132" s="520">
        <v>43</v>
      </c>
      <c r="C132" s="520" t="s">
        <v>27</v>
      </c>
      <c r="D132" s="521">
        <v>3292</v>
      </c>
      <c r="E132" s="522" t="s">
        <v>59</v>
      </c>
      <c r="F132" s="523" t="s">
        <v>686</v>
      </c>
      <c r="G132" s="497">
        <f t="shared" si="17"/>
        <v>267817</v>
      </c>
      <c r="H132" s="498">
        <f t="shared" si="17"/>
        <v>273417</v>
      </c>
      <c r="I132" s="499">
        <f t="shared" si="17"/>
        <v>279517</v>
      </c>
      <c r="J132" s="500"/>
      <c r="K132" s="501"/>
      <c r="L132" s="502"/>
      <c r="M132" s="503">
        <v>3500</v>
      </c>
      <c r="N132" s="501">
        <v>3600</v>
      </c>
      <c r="O132" s="504">
        <v>3700</v>
      </c>
      <c r="P132" s="500"/>
      <c r="Q132" s="501"/>
      <c r="R132" s="502"/>
      <c r="S132" s="503"/>
      <c r="T132" s="501"/>
      <c r="U132" s="504"/>
      <c r="V132" s="500"/>
      <c r="W132" s="501"/>
      <c r="X132" s="502"/>
      <c r="Y132" s="505">
        <f t="shared" si="18"/>
        <v>3500</v>
      </c>
      <c r="Z132" s="506">
        <f t="shared" si="18"/>
        <v>3600</v>
      </c>
      <c r="AA132" s="507">
        <f t="shared" si="18"/>
        <v>3700</v>
      </c>
      <c r="AB132" s="500"/>
      <c r="AC132" s="501"/>
      <c r="AD132" s="502"/>
      <c r="AE132" s="503">
        <v>80000</v>
      </c>
      <c r="AF132" s="501">
        <v>80000</v>
      </c>
      <c r="AG132" s="504">
        <v>80000</v>
      </c>
      <c r="AH132" s="500">
        <v>55000</v>
      </c>
      <c r="AI132" s="501">
        <v>55000</v>
      </c>
      <c r="AJ132" s="502">
        <v>60000</v>
      </c>
      <c r="AK132" s="503">
        <v>82317</v>
      </c>
      <c r="AL132" s="501">
        <v>82317</v>
      </c>
      <c r="AM132" s="504">
        <v>82317</v>
      </c>
      <c r="AN132" s="500">
        <v>25000</v>
      </c>
      <c r="AO132" s="501">
        <v>25000</v>
      </c>
      <c r="AP132" s="502">
        <v>25000</v>
      </c>
      <c r="AQ132" s="503"/>
      <c r="AR132" s="501"/>
      <c r="AS132" s="504"/>
      <c r="AT132" s="500"/>
      <c r="AU132" s="501"/>
      <c r="AV132" s="502"/>
      <c r="AW132" s="503">
        <v>6000</v>
      </c>
      <c r="AX132" s="501">
        <v>6500</v>
      </c>
      <c r="AY132" s="504">
        <v>6500</v>
      </c>
      <c r="AZ132" s="500"/>
      <c r="BA132" s="501"/>
      <c r="BB132" s="502"/>
      <c r="BC132" s="503"/>
      <c r="BD132" s="501"/>
      <c r="BE132" s="504"/>
      <c r="BF132" s="500">
        <v>10000</v>
      </c>
      <c r="BG132" s="501">
        <v>15000</v>
      </c>
      <c r="BH132" s="502">
        <v>15000</v>
      </c>
      <c r="BI132" s="503">
        <v>6000</v>
      </c>
      <c r="BJ132" s="501">
        <v>6000</v>
      </c>
      <c r="BK132" s="504">
        <v>7000</v>
      </c>
      <c r="BL132" s="500"/>
      <c r="BM132" s="501"/>
      <c r="BN132" s="502"/>
      <c r="BO132" s="503"/>
      <c r="BP132" s="501"/>
      <c r="BQ132" s="504"/>
      <c r="BR132" s="513">
        <f t="shared" si="19"/>
        <v>267817</v>
      </c>
      <c r="BS132" s="514">
        <f t="shared" si="19"/>
        <v>273417</v>
      </c>
      <c r="BT132" s="515">
        <f t="shared" si="19"/>
        <v>279517</v>
      </c>
      <c r="BU132" s="516"/>
      <c r="BV132" s="517"/>
      <c r="BW132" s="518"/>
    </row>
    <row r="133" spans="1:75" ht="36">
      <c r="A133" s="519" t="s">
        <v>49</v>
      </c>
      <c r="B133" s="520">
        <v>43</v>
      </c>
      <c r="C133" s="520" t="s">
        <v>27</v>
      </c>
      <c r="D133" s="521">
        <v>3293</v>
      </c>
      <c r="E133" s="522" t="s">
        <v>68</v>
      </c>
      <c r="F133" s="523" t="s">
        <v>686</v>
      </c>
      <c r="G133" s="497">
        <f t="shared" si="17"/>
        <v>1431815</v>
      </c>
      <c r="H133" s="498">
        <f t="shared" si="17"/>
        <v>1532605</v>
      </c>
      <c r="I133" s="499">
        <f t="shared" si="17"/>
        <v>1544950</v>
      </c>
      <c r="J133" s="500">
        <v>15000</v>
      </c>
      <c r="K133" s="501">
        <v>15000</v>
      </c>
      <c r="L133" s="502">
        <v>15000</v>
      </c>
      <c r="M133" s="503">
        <v>9000</v>
      </c>
      <c r="N133" s="501">
        <v>9100</v>
      </c>
      <c r="O133" s="504">
        <v>9200</v>
      </c>
      <c r="P133" s="500">
        <v>12000</v>
      </c>
      <c r="Q133" s="501">
        <v>12000</v>
      </c>
      <c r="R133" s="502">
        <v>12000</v>
      </c>
      <c r="S133" s="503">
        <v>10000</v>
      </c>
      <c r="T133" s="501">
        <v>10210</v>
      </c>
      <c r="U133" s="504">
        <v>10292</v>
      </c>
      <c r="V133" s="500">
        <v>45600</v>
      </c>
      <c r="W133" s="501">
        <v>47800</v>
      </c>
      <c r="X133" s="502">
        <v>47800</v>
      </c>
      <c r="Y133" s="505">
        <f t="shared" si="18"/>
        <v>91600</v>
      </c>
      <c r="Z133" s="506">
        <f t="shared" si="18"/>
        <v>94110</v>
      </c>
      <c r="AA133" s="507">
        <f t="shared" si="18"/>
        <v>94292</v>
      </c>
      <c r="AB133" s="500">
        <v>50000</v>
      </c>
      <c r="AC133" s="501">
        <v>50000</v>
      </c>
      <c r="AD133" s="502">
        <v>50000</v>
      </c>
      <c r="AE133" s="503">
        <v>200000</v>
      </c>
      <c r="AF133" s="501">
        <v>200000</v>
      </c>
      <c r="AG133" s="504">
        <v>200000</v>
      </c>
      <c r="AH133" s="500">
        <v>220000</v>
      </c>
      <c r="AI133" s="501">
        <v>215000</v>
      </c>
      <c r="AJ133" s="502">
        <v>210000</v>
      </c>
      <c r="AK133" s="503">
        <v>201915</v>
      </c>
      <c r="AL133" s="501">
        <v>205915</v>
      </c>
      <c r="AM133" s="504">
        <v>205915</v>
      </c>
      <c r="AN133" s="500">
        <v>100000</v>
      </c>
      <c r="AO133" s="501">
        <v>100000</v>
      </c>
      <c r="AP133" s="502">
        <v>100000</v>
      </c>
      <c r="AQ133" s="503">
        <f>150000-50000</f>
        <v>100000</v>
      </c>
      <c r="AR133" s="501">
        <v>150000</v>
      </c>
      <c r="AS133" s="504">
        <v>150000</v>
      </c>
      <c r="AT133" s="599">
        <v>33000</v>
      </c>
      <c r="AU133" s="600">
        <v>33660</v>
      </c>
      <c r="AV133" s="601">
        <v>33660</v>
      </c>
      <c r="AW133" s="503">
        <v>50000</v>
      </c>
      <c r="AX133" s="501">
        <v>50000</v>
      </c>
      <c r="AY133" s="504">
        <v>50000</v>
      </c>
      <c r="AZ133" s="500">
        <v>30000</v>
      </c>
      <c r="BA133" s="501">
        <v>31000</v>
      </c>
      <c r="BB133" s="502">
        <v>31000</v>
      </c>
      <c r="BC133" s="503">
        <v>20000</v>
      </c>
      <c r="BD133" s="501">
        <v>20420</v>
      </c>
      <c r="BE133" s="504">
        <v>20583</v>
      </c>
      <c r="BF133" s="500">
        <v>204600</v>
      </c>
      <c r="BG133" s="501">
        <v>210000</v>
      </c>
      <c r="BH133" s="502">
        <v>210000</v>
      </c>
      <c r="BI133" s="503">
        <v>72000</v>
      </c>
      <c r="BJ133" s="501">
        <v>111000</v>
      </c>
      <c r="BK133" s="504">
        <v>121000</v>
      </c>
      <c r="BL133" s="500">
        <v>45200</v>
      </c>
      <c r="BM133" s="501">
        <v>48000</v>
      </c>
      <c r="BN133" s="502">
        <v>55000</v>
      </c>
      <c r="BO133" s="503">
        <v>13500</v>
      </c>
      <c r="BP133" s="501">
        <v>13500</v>
      </c>
      <c r="BQ133" s="504">
        <v>13500</v>
      </c>
      <c r="BR133" s="513">
        <f t="shared" si="19"/>
        <v>1431815</v>
      </c>
      <c r="BS133" s="514">
        <f t="shared" si="19"/>
        <v>1532605</v>
      </c>
      <c r="BT133" s="515">
        <f t="shared" si="19"/>
        <v>1544950</v>
      </c>
      <c r="BU133" s="516"/>
      <c r="BV133" s="517"/>
      <c r="BW133" s="518"/>
    </row>
    <row r="134" spans="1:75" ht="36">
      <c r="A134" s="519" t="s">
        <v>49</v>
      </c>
      <c r="B134" s="520">
        <v>43</v>
      </c>
      <c r="C134" s="520" t="s">
        <v>27</v>
      </c>
      <c r="D134" s="521">
        <v>3294</v>
      </c>
      <c r="E134" s="522" t="s">
        <v>69</v>
      </c>
      <c r="F134" s="523" t="s">
        <v>686</v>
      </c>
      <c r="G134" s="497">
        <f t="shared" si="17"/>
        <v>193550</v>
      </c>
      <c r="H134" s="498">
        <f t="shared" si="17"/>
        <v>206781</v>
      </c>
      <c r="I134" s="499">
        <f t="shared" si="17"/>
        <v>206794</v>
      </c>
      <c r="J134" s="500"/>
      <c r="K134" s="501"/>
      <c r="L134" s="502"/>
      <c r="M134" s="503">
        <v>300</v>
      </c>
      <c r="N134" s="501">
        <v>300</v>
      </c>
      <c r="O134" s="504">
        <v>300</v>
      </c>
      <c r="P134" s="500">
        <v>1000</v>
      </c>
      <c r="Q134" s="501">
        <v>1000</v>
      </c>
      <c r="R134" s="502">
        <v>1000</v>
      </c>
      <c r="S134" s="503">
        <v>500</v>
      </c>
      <c r="T134" s="501">
        <v>510</v>
      </c>
      <c r="U134" s="504">
        <v>515</v>
      </c>
      <c r="V134" s="500">
        <v>2100</v>
      </c>
      <c r="W134" s="501">
        <v>2200</v>
      </c>
      <c r="X134" s="502">
        <v>2200</v>
      </c>
      <c r="Y134" s="505">
        <f t="shared" si="18"/>
        <v>3900</v>
      </c>
      <c r="Z134" s="506">
        <f t="shared" si="18"/>
        <v>4010</v>
      </c>
      <c r="AA134" s="507">
        <f t="shared" si="18"/>
        <v>4015</v>
      </c>
      <c r="AB134" s="500"/>
      <c r="AC134" s="501"/>
      <c r="AD134" s="502"/>
      <c r="AE134" s="503">
        <v>30000</v>
      </c>
      <c r="AF134" s="501">
        <v>30000</v>
      </c>
      <c r="AG134" s="504">
        <v>30000</v>
      </c>
      <c r="AH134" s="500">
        <v>7000</v>
      </c>
      <c r="AI134" s="501">
        <v>4000</v>
      </c>
      <c r="AJ134" s="502">
        <v>4000</v>
      </c>
      <c r="AK134" s="503"/>
      <c r="AL134" s="501"/>
      <c r="AM134" s="504"/>
      <c r="AN134" s="500">
        <v>50000</v>
      </c>
      <c r="AO134" s="501">
        <v>50000</v>
      </c>
      <c r="AP134" s="502">
        <v>50000</v>
      </c>
      <c r="AQ134" s="503">
        <v>6000</v>
      </c>
      <c r="AR134" s="501">
        <v>6000</v>
      </c>
      <c r="AS134" s="504">
        <v>6000</v>
      </c>
      <c r="AT134" s="599">
        <v>5000</v>
      </c>
      <c r="AU134" s="600">
        <v>5100</v>
      </c>
      <c r="AV134" s="601">
        <v>5100</v>
      </c>
      <c r="AW134" s="503">
        <v>32000</v>
      </c>
      <c r="AX134" s="501">
        <v>32000</v>
      </c>
      <c r="AY134" s="504">
        <v>32000</v>
      </c>
      <c r="AZ134" s="500">
        <v>650</v>
      </c>
      <c r="BA134" s="501">
        <v>650</v>
      </c>
      <c r="BB134" s="502">
        <v>650</v>
      </c>
      <c r="BC134" s="503">
        <v>1000</v>
      </c>
      <c r="BD134" s="501">
        <v>1021</v>
      </c>
      <c r="BE134" s="504">
        <v>1029</v>
      </c>
      <c r="BF134" s="500">
        <v>14000</v>
      </c>
      <c r="BG134" s="501">
        <v>30000</v>
      </c>
      <c r="BH134" s="502">
        <v>30000</v>
      </c>
      <c r="BI134" s="503">
        <v>42000</v>
      </c>
      <c r="BJ134" s="501">
        <v>42000</v>
      </c>
      <c r="BK134" s="504">
        <v>42000</v>
      </c>
      <c r="BL134" s="500"/>
      <c r="BM134" s="501"/>
      <c r="BN134" s="502"/>
      <c r="BO134" s="503">
        <v>2000</v>
      </c>
      <c r="BP134" s="501">
        <v>2000</v>
      </c>
      <c r="BQ134" s="504">
        <v>2000</v>
      </c>
      <c r="BR134" s="513">
        <f t="shared" si="19"/>
        <v>193550</v>
      </c>
      <c r="BS134" s="514">
        <f t="shared" si="19"/>
        <v>206781</v>
      </c>
      <c r="BT134" s="515">
        <f t="shared" si="19"/>
        <v>206794</v>
      </c>
      <c r="BU134" s="516"/>
      <c r="BV134" s="517"/>
      <c r="BW134" s="518"/>
    </row>
    <row r="135" spans="1:75" ht="36">
      <c r="A135" s="519" t="s">
        <v>49</v>
      </c>
      <c r="B135" s="520">
        <v>43</v>
      </c>
      <c r="C135" s="520" t="s">
        <v>27</v>
      </c>
      <c r="D135" s="521">
        <v>3295</v>
      </c>
      <c r="E135" s="522" t="s">
        <v>55</v>
      </c>
      <c r="F135" s="523" t="s">
        <v>686</v>
      </c>
      <c r="G135" s="497">
        <f t="shared" si="17"/>
        <v>129075</v>
      </c>
      <c r="H135" s="498">
        <f t="shared" si="17"/>
        <v>110949</v>
      </c>
      <c r="I135" s="499">
        <f t="shared" si="17"/>
        <v>108271</v>
      </c>
      <c r="J135" s="500"/>
      <c r="K135" s="501"/>
      <c r="L135" s="502"/>
      <c r="M135" s="503">
        <v>1000</v>
      </c>
      <c r="N135" s="501">
        <v>1010</v>
      </c>
      <c r="O135" s="504">
        <v>1050</v>
      </c>
      <c r="P135" s="500"/>
      <c r="Q135" s="501"/>
      <c r="R135" s="502"/>
      <c r="S135" s="503">
        <v>2000</v>
      </c>
      <c r="T135" s="501">
        <v>2042</v>
      </c>
      <c r="U135" s="504">
        <v>2058</v>
      </c>
      <c r="V135" s="500"/>
      <c r="W135" s="501"/>
      <c r="X135" s="502"/>
      <c r="Y135" s="505">
        <f t="shared" si="18"/>
        <v>3000</v>
      </c>
      <c r="Z135" s="506">
        <f t="shared" si="18"/>
        <v>3052</v>
      </c>
      <c r="AA135" s="507">
        <f t="shared" si="18"/>
        <v>3108</v>
      </c>
      <c r="AB135" s="500"/>
      <c r="AC135" s="501"/>
      <c r="AD135" s="502"/>
      <c r="AE135" s="503">
        <v>3000</v>
      </c>
      <c r="AF135" s="501">
        <v>3000</v>
      </c>
      <c r="AG135" s="504">
        <v>3000</v>
      </c>
      <c r="AH135" s="500">
        <v>8000</v>
      </c>
      <c r="AI135" s="501">
        <v>8000</v>
      </c>
      <c r="AJ135" s="502">
        <v>8000</v>
      </c>
      <c r="AK135" s="503">
        <v>8075</v>
      </c>
      <c r="AL135" s="501">
        <v>10075</v>
      </c>
      <c r="AM135" s="504">
        <v>10075</v>
      </c>
      <c r="AN135" s="500">
        <v>10000</v>
      </c>
      <c r="AO135" s="501">
        <v>10000</v>
      </c>
      <c r="AP135" s="502">
        <v>10000</v>
      </c>
      <c r="AQ135" s="503">
        <v>1000</v>
      </c>
      <c r="AR135" s="501">
        <v>1000</v>
      </c>
      <c r="AS135" s="504">
        <v>1000</v>
      </c>
      <c r="AT135" s="599">
        <v>16500</v>
      </c>
      <c r="AU135" s="600">
        <v>3780</v>
      </c>
      <c r="AV135" s="601">
        <v>3030</v>
      </c>
      <c r="AW135" s="503">
        <v>22500</v>
      </c>
      <c r="AX135" s="501">
        <v>15000</v>
      </c>
      <c r="AY135" s="504">
        <v>11000</v>
      </c>
      <c r="AZ135" s="500">
        <v>1000</v>
      </c>
      <c r="BA135" s="501">
        <v>1000</v>
      </c>
      <c r="BB135" s="502">
        <v>1000</v>
      </c>
      <c r="BC135" s="503">
        <v>2000</v>
      </c>
      <c r="BD135" s="501">
        <v>2042</v>
      </c>
      <c r="BE135" s="504">
        <v>2058</v>
      </c>
      <c r="BF135" s="500">
        <v>45000</v>
      </c>
      <c r="BG135" s="501">
        <v>45000</v>
      </c>
      <c r="BH135" s="502">
        <v>45000</v>
      </c>
      <c r="BI135" s="503">
        <v>7000</v>
      </c>
      <c r="BJ135" s="501">
        <v>7000</v>
      </c>
      <c r="BK135" s="504">
        <v>9000</v>
      </c>
      <c r="BL135" s="500"/>
      <c r="BM135" s="501"/>
      <c r="BN135" s="502"/>
      <c r="BO135" s="503">
        <v>2000</v>
      </c>
      <c r="BP135" s="501">
        <v>2000</v>
      </c>
      <c r="BQ135" s="504">
        <v>2000</v>
      </c>
      <c r="BR135" s="513">
        <f t="shared" si="19"/>
        <v>129075</v>
      </c>
      <c r="BS135" s="514">
        <f t="shared" si="19"/>
        <v>110949</v>
      </c>
      <c r="BT135" s="515">
        <f t="shared" si="19"/>
        <v>108271</v>
      </c>
      <c r="BU135" s="516"/>
      <c r="BV135" s="517"/>
      <c r="BW135" s="518"/>
    </row>
    <row r="136" spans="1:75" ht="36">
      <c r="A136" s="519" t="s">
        <v>49</v>
      </c>
      <c r="B136" s="520">
        <v>43</v>
      </c>
      <c r="C136" s="520" t="s">
        <v>27</v>
      </c>
      <c r="D136" s="521">
        <v>3296</v>
      </c>
      <c r="E136" s="522" t="s">
        <v>97</v>
      </c>
      <c r="F136" s="523" t="s">
        <v>686</v>
      </c>
      <c r="G136" s="497">
        <f t="shared" si="17"/>
        <v>96146</v>
      </c>
      <c r="H136" s="498">
        <f t="shared" si="17"/>
        <v>135000</v>
      </c>
      <c r="I136" s="499">
        <f t="shared" si="17"/>
        <v>115000</v>
      </c>
      <c r="J136" s="500"/>
      <c r="K136" s="501"/>
      <c r="L136" s="502"/>
      <c r="M136" s="503"/>
      <c r="N136" s="501"/>
      <c r="O136" s="504"/>
      <c r="P136" s="500"/>
      <c r="Q136" s="501"/>
      <c r="R136" s="502"/>
      <c r="S136" s="503"/>
      <c r="T136" s="501"/>
      <c r="U136" s="504"/>
      <c r="V136" s="500"/>
      <c r="W136" s="501"/>
      <c r="X136" s="502"/>
      <c r="Y136" s="505">
        <f t="shared" si="18"/>
        <v>0</v>
      </c>
      <c r="Z136" s="506">
        <f t="shared" si="18"/>
        <v>0</v>
      </c>
      <c r="AA136" s="507">
        <f t="shared" si="18"/>
        <v>0</v>
      </c>
      <c r="AB136" s="500"/>
      <c r="AC136" s="501"/>
      <c r="AD136" s="502"/>
      <c r="AE136" s="503"/>
      <c r="AF136" s="501"/>
      <c r="AG136" s="504"/>
      <c r="AH136" s="500"/>
      <c r="AI136" s="501"/>
      <c r="AJ136" s="502"/>
      <c r="AK136" s="503"/>
      <c r="AL136" s="501"/>
      <c r="AM136" s="504"/>
      <c r="AN136" s="500"/>
      <c r="AO136" s="501"/>
      <c r="AP136" s="502"/>
      <c r="AQ136" s="503"/>
      <c r="AR136" s="501"/>
      <c r="AS136" s="504"/>
      <c r="AT136" s="599">
        <f>100000-80000</f>
        <v>20000</v>
      </c>
      <c r="AU136" s="600">
        <v>20000</v>
      </c>
      <c r="AV136" s="601">
        <v>10000</v>
      </c>
      <c r="AW136" s="503">
        <f>70000-38854</f>
        <v>31146</v>
      </c>
      <c r="AX136" s="501">
        <v>50000</v>
      </c>
      <c r="AY136" s="504">
        <v>40000</v>
      </c>
      <c r="AZ136" s="500"/>
      <c r="BA136" s="501"/>
      <c r="BB136" s="502"/>
      <c r="BC136" s="503"/>
      <c r="BD136" s="501"/>
      <c r="BE136" s="504"/>
      <c r="BF136" s="500">
        <v>45000</v>
      </c>
      <c r="BG136" s="501">
        <v>65000</v>
      </c>
      <c r="BH136" s="502">
        <v>65000</v>
      </c>
      <c r="BI136" s="503"/>
      <c r="BJ136" s="501"/>
      <c r="BK136" s="504"/>
      <c r="BL136" s="500"/>
      <c r="BM136" s="501"/>
      <c r="BN136" s="502"/>
      <c r="BO136" s="503"/>
      <c r="BP136" s="501"/>
      <c r="BQ136" s="504"/>
      <c r="BR136" s="513">
        <f t="shared" si="19"/>
        <v>96146</v>
      </c>
      <c r="BS136" s="514">
        <f t="shared" si="19"/>
        <v>135000</v>
      </c>
      <c r="BT136" s="515">
        <f t="shared" si="19"/>
        <v>115000</v>
      </c>
      <c r="BU136" s="516"/>
      <c r="BV136" s="517"/>
      <c r="BW136" s="518"/>
    </row>
    <row r="137" spans="1:75" ht="36">
      <c r="A137" s="519" t="s">
        <v>49</v>
      </c>
      <c r="B137" s="520">
        <v>43</v>
      </c>
      <c r="C137" s="520" t="s">
        <v>27</v>
      </c>
      <c r="D137" s="521">
        <v>3299</v>
      </c>
      <c r="E137" s="522" t="s">
        <v>57</v>
      </c>
      <c r="F137" s="523" t="s">
        <v>686</v>
      </c>
      <c r="G137" s="497">
        <f t="shared" si="17"/>
        <v>4820483</v>
      </c>
      <c r="H137" s="498">
        <f t="shared" si="17"/>
        <v>5072859</v>
      </c>
      <c r="I137" s="499">
        <f t="shared" si="17"/>
        <v>5273708</v>
      </c>
      <c r="J137" s="500">
        <v>3100000</v>
      </c>
      <c r="K137" s="501">
        <v>3200000</v>
      </c>
      <c r="L137" s="502">
        <v>3300000</v>
      </c>
      <c r="M137" s="503">
        <v>40000</v>
      </c>
      <c r="N137" s="501">
        <v>40500</v>
      </c>
      <c r="O137" s="504">
        <v>40900</v>
      </c>
      <c r="P137" s="500">
        <v>3000</v>
      </c>
      <c r="Q137" s="501">
        <v>3000</v>
      </c>
      <c r="R137" s="502">
        <v>3000</v>
      </c>
      <c r="S137" s="503">
        <v>25000</v>
      </c>
      <c r="T137" s="501">
        <v>25525</v>
      </c>
      <c r="U137" s="504">
        <v>25729</v>
      </c>
      <c r="V137" s="500">
        <v>76500</v>
      </c>
      <c r="W137" s="501">
        <v>78600</v>
      </c>
      <c r="X137" s="502">
        <v>78600</v>
      </c>
      <c r="Y137" s="505">
        <f t="shared" si="18"/>
        <v>3244500</v>
      </c>
      <c r="Z137" s="506">
        <f t="shared" si="18"/>
        <v>3347625</v>
      </c>
      <c r="AA137" s="507">
        <f t="shared" si="18"/>
        <v>3448229</v>
      </c>
      <c r="AB137" s="500"/>
      <c r="AC137" s="501"/>
      <c r="AD137" s="502"/>
      <c r="AE137" s="503">
        <v>450000</v>
      </c>
      <c r="AF137" s="501">
        <v>400000</v>
      </c>
      <c r="AG137" s="504">
        <v>350000</v>
      </c>
      <c r="AH137" s="500">
        <f>192000-100000</f>
        <v>92000</v>
      </c>
      <c r="AI137" s="501">
        <v>170000</v>
      </c>
      <c r="AJ137" s="502">
        <v>140000</v>
      </c>
      <c r="AK137" s="503">
        <v>169504</v>
      </c>
      <c r="AL137" s="501">
        <v>169504</v>
      </c>
      <c r="AM137" s="504">
        <v>169504</v>
      </c>
      <c r="AN137" s="500">
        <v>10000</v>
      </c>
      <c r="AO137" s="501">
        <v>10000</v>
      </c>
      <c r="AP137" s="502">
        <v>10000</v>
      </c>
      <c r="AQ137" s="503">
        <f>110000-50000</f>
        <v>60000</v>
      </c>
      <c r="AR137" s="501">
        <v>110000</v>
      </c>
      <c r="AS137" s="504">
        <v>110000</v>
      </c>
      <c r="AT137" s="599">
        <v>39000</v>
      </c>
      <c r="AU137" s="600">
        <v>56100</v>
      </c>
      <c r="AV137" s="601">
        <v>56100</v>
      </c>
      <c r="AW137" s="503">
        <v>25000</v>
      </c>
      <c r="AX137" s="501">
        <v>25000</v>
      </c>
      <c r="AY137" s="504">
        <v>25000</v>
      </c>
      <c r="AZ137" s="500">
        <v>15000</v>
      </c>
      <c r="BA137" s="501">
        <v>15000</v>
      </c>
      <c r="BB137" s="502">
        <v>15000</v>
      </c>
      <c r="BC137" s="503">
        <v>30000</v>
      </c>
      <c r="BD137" s="501">
        <v>30630</v>
      </c>
      <c r="BE137" s="504">
        <v>30875</v>
      </c>
      <c r="BF137" s="500">
        <v>250000</v>
      </c>
      <c r="BG137" s="501">
        <v>250000</v>
      </c>
      <c r="BH137" s="502">
        <v>250000</v>
      </c>
      <c r="BI137" s="503">
        <v>152000</v>
      </c>
      <c r="BJ137" s="501">
        <v>153000</v>
      </c>
      <c r="BK137" s="504">
        <v>153000</v>
      </c>
      <c r="BL137" s="500">
        <v>267479</v>
      </c>
      <c r="BM137" s="501">
        <f>470000-150000</f>
        <v>320000</v>
      </c>
      <c r="BN137" s="502">
        <v>500000</v>
      </c>
      <c r="BO137" s="503">
        <v>16000</v>
      </c>
      <c r="BP137" s="501">
        <v>16000</v>
      </c>
      <c r="BQ137" s="504">
        <v>16000</v>
      </c>
      <c r="BR137" s="513">
        <f t="shared" si="19"/>
        <v>4820483</v>
      </c>
      <c r="BS137" s="514">
        <f t="shared" si="19"/>
        <v>5072859</v>
      </c>
      <c r="BT137" s="515">
        <f t="shared" si="19"/>
        <v>5273708</v>
      </c>
      <c r="BU137" s="516"/>
      <c r="BV137" s="517"/>
      <c r="BW137" s="518"/>
    </row>
    <row r="138" spans="1:75" ht="36">
      <c r="A138" s="519" t="s">
        <v>49</v>
      </c>
      <c r="B138" s="520">
        <v>43</v>
      </c>
      <c r="C138" s="520" t="s">
        <v>27</v>
      </c>
      <c r="D138" s="521">
        <v>3431</v>
      </c>
      <c r="E138" s="522" t="s">
        <v>70</v>
      </c>
      <c r="F138" s="523" t="s">
        <v>686</v>
      </c>
      <c r="G138" s="497">
        <f t="shared" si="17"/>
        <v>453365</v>
      </c>
      <c r="H138" s="498">
        <f t="shared" si="17"/>
        <v>456779</v>
      </c>
      <c r="I138" s="499">
        <f t="shared" si="17"/>
        <v>446957</v>
      </c>
      <c r="J138" s="500">
        <v>1000</v>
      </c>
      <c r="K138" s="501">
        <v>1000</v>
      </c>
      <c r="L138" s="502">
        <v>1000</v>
      </c>
      <c r="M138" s="503">
        <v>10000</v>
      </c>
      <c r="N138" s="501">
        <v>10100</v>
      </c>
      <c r="O138" s="504">
        <v>10200</v>
      </c>
      <c r="P138" s="500">
        <v>2000</v>
      </c>
      <c r="Q138" s="501">
        <v>2000</v>
      </c>
      <c r="R138" s="502">
        <v>2000</v>
      </c>
      <c r="S138" s="503">
        <v>4500</v>
      </c>
      <c r="T138" s="501">
        <v>4594</v>
      </c>
      <c r="U138" s="504">
        <v>4631</v>
      </c>
      <c r="V138" s="500">
        <v>465</v>
      </c>
      <c r="W138" s="501">
        <v>480</v>
      </c>
      <c r="X138" s="502">
        <v>480</v>
      </c>
      <c r="Y138" s="505">
        <f t="shared" si="18"/>
        <v>17965</v>
      </c>
      <c r="Z138" s="506">
        <f t="shared" si="18"/>
        <v>18174</v>
      </c>
      <c r="AA138" s="507">
        <f t="shared" si="18"/>
        <v>18311</v>
      </c>
      <c r="AB138" s="500"/>
      <c r="AC138" s="501"/>
      <c r="AD138" s="502"/>
      <c r="AE138" s="503">
        <v>100000</v>
      </c>
      <c r="AF138" s="501">
        <v>90000</v>
      </c>
      <c r="AG138" s="504">
        <v>80000</v>
      </c>
      <c r="AH138" s="500">
        <v>54000</v>
      </c>
      <c r="AI138" s="501">
        <v>60000</v>
      </c>
      <c r="AJ138" s="502">
        <v>60000</v>
      </c>
      <c r="AK138" s="503"/>
      <c r="AL138" s="501"/>
      <c r="AM138" s="504"/>
      <c r="AN138" s="500">
        <v>20000</v>
      </c>
      <c r="AO138" s="501">
        <v>20000</v>
      </c>
      <c r="AP138" s="502">
        <v>20000</v>
      </c>
      <c r="AQ138" s="503">
        <v>6000</v>
      </c>
      <c r="AR138" s="501">
        <v>6000</v>
      </c>
      <c r="AS138" s="504">
        <v>6000</v>
      </c>
      <c r="AT138" s="599">
        <v>55000</v>
      </c>
      <c r="AU138" s="600">
        <v>56100</v>
      </c>
      <c r="AV138" s="601">
        <v>56100</v>
      </c>
      <c r="AW138" s="503">
        <v>2500</v>
      </c>
      <c r="AX138" s="501">
        <v>2500</v>
      </c>
      <c r="AY138" s="504">
        <v>2500</v>
      </c>
      <c r="AZ138" s="500"/>
      <c r="BA138" s="501"/>
      <c r="BB138" s="502"/>
      <c r="BC138" s="503">
        <v>5000</v>
      </c>
      <c r="BD138" s="501">
        <v>5105</v>
      </c>
      <c r="BE138" s="504">
        <v>5146</v>
      </c>
      <c r="BF138" s="500">
        <v>25000</v>
      </c>
      <c r="BG138" s="501">
        <v>25000</v>
      </c>
      <c r="BH138" s="502">
        <v>25000</v>
      </c>
      <c r="BI138" s="503">
        <v>134000</v>
      </c>
      <c r="BJ138" s="501">
        <v>134000</v>
      </c>
      <c r="BK138" s="504">
        <v>132000</v>
      </c>
      <c r="BL138" s="500">
        <v>14000</v>
      </c>
      <c r="BM138" s="501">
        <v>20000</v>
      </c>
      <c r="BN138" s="502">
        <v>22000</v>
      </c>
      <c r="BO138" s="503">
        <v>19900</v>
      </c>
      <c r="BP138" s="501">
        <v>19900</v>
      </c>
      <c r="BQ138" s="504">
        <v>19900</v>
      </c>
      <c r="BR138" s="513">
        <f t="shared" si="19"/>
        <v>453365</v>
      </c>
      <c r="BS138" s="514">
        <f t="shared" si="19"/>
        <v>456779</v>
      </c>
      <c r="BT138" s="515">
        <f t="shared" si="19"/>
        <v>446957</v>
      </c>
      <c r="BU138" s="516"/>
      <c r="BV138" s="517"/>
      <c r="BW138" s="518"/>
    </row>
    <row r="139" spans="1:75" ht="36">
      <c r="A139" s="519" t="s">
        <v>49</v>
      </c>
      <c r="B139" s="520">
        <v>43</v>
      </c>
      <c r="C139" s="520" t="s">
        <v>27</v>
      </c>
      <c r="D139" s="521">
        <v>3432</v>
      </c>
      <c r="E139" s="522" t="s">
        <v>71</v>
      </c>
      <c r="F139" s="523" t="s">
        <v>686</v>
      </c>
      <c r="G139" s="497">
        <f t="shared" si="17"/>
        <v>14070</v>
      </c>
      <c r="H139" s="498">
        <f t="shared" si="17"/>
        <v>15606</v>
      </c>
      <c r="I139" s="499">
        <f t="shared" si="17"/>
        <v>16112</v>
      </c>
      <c r="J139" s="500"/>
      <c r="K139" s="501"/>
      <c r="L139" s="502"/>
      <c r="M139" s="503">
        <v>600</v>
      </c>
      <c r="N139" s="501">
        <v>600</v>
      </c>
      <c r="O139" s="504">
        <v>600</v>
      </c>
      <c r="P139" s="500"/>
      <c r="Q139" s="501"/>
      <c r="R139" s="502"/>
      <c r="S139" s="503">
        <v>300</v>
      </c>
      <c r="T139" s="501">
        <v>306</v>
      </c>
      <c r="U139" s="504">
        <v>309</v>
      </c>
      <c r="V139" s="500">
        <v>120</v>
      </c>
      <c r="W139" s="501">
        <v>135</v>
      </c>
      <c r="X139" s="502">
        <v>135</v>
      </c>
      <c r="Y139" s="505">
        <f t="shared" si="18"/>
        <v>1020</v>
      </c>
      <c r="Z139" s="506">
        <f t="shared" si="18"/>
        <v>1041</v>
      </c>
      <c r="AA139" s="507">
        <f t="shared" si="18"/>
        <v>1044</v>
      </c>
      <c r="AB139" s="500"/>
      <c r="AC139" s="501"/>
      <c r="AD139" s="502"/>
      <c r="AE139" s="503">
        <v>1500</v>
      </c>
      <c r="AF139" s="501">
        <v>1500</v>
      </c>
      <c r="AG139" s="504">
        <v>1500</v>
      </c>
      <c r="AH139" s="500"/>
      <c r="AI139" s="501"/>
      <c r="AJ139" s="502"/>
      <c r="AK139" s="503"/>
      <c r="AL139" s="501"/>
      <c r="AM139" s="504"/>
      <c r="AN139" s="500">
        <v>3500</v>
      </c>
      <c r="AO139" s="501">
        <v>3500</v>
      </c>
      <c r="AP139" s="502">
        <v>3500</v>
      </c>
      <c r="AQ139" s="503">
        <v>1000</v>
      </c>
      <c r="AR139" s="501">
        <v>1000</v>
      </c>
      <c r="AS139" s="504">
        <v>1000</v>
      </c>
      <c r="AT139" s="599">
        <v>450</v>
      </c>
      <c r="AU139" s="600">
        <v>459</v>
      </c>
      <c r="AV139" s="601">
        <v>459</v>
      </c>
      <c r="AW139" s="503">
        <v>1300</v>
      </c>
      <c r="AX139" s="501">
        <v>1300</v>
      </c>
      <c r="AY139" s="504">
        <v>1300</v>
      </c>
      <c r="AZ139" s="500"/>
      <c r="BA139" s="501"/>
      <c r="BB139" s="502"/>
      <c r="BC139" s="503">
        <v>300</v>
      </c>
      <c r="BD139" s="501">
        <v>306</v>
      </c>
      <c r="BE139" s="504">
        <v>309</v>
      </c>
      <c r="BF139" s="500">
        <v>2500</v>
      </c>
      <c r="BG139" s="501">
        <v>2500</v>
      </c>
      <c r="BH139" s="502">
        <v>2500</v>
      </c>
      <c r="BI139" s="503"/>
      <c r="BJ139" s="501"/>
      <c r="BK139" s="504"/>
      <c r="BL139" s="500">
        <v>2500</v>
      </c>
      <c r="BM139" s="501">
        <v>4000</v>
      </c>
      <c r="BN139" s="502">
        <v>4500</v>
      </c>
      <c r="BO139" s="503"/>
      <c r="BP139" s="501"/>
      <c r="BQ139" s="504"/>
      <c r="BR139" s="513">
        <f t="shared" si="19"/>
        <v>14070</v>
      </c>
      <c r="BS139" s="514">
        <f t="shared" si="19"/>
        <v>15606</v>
      </c>
      <c r="BT139" s="515">
        <f t="shared" si="19"/>
        <v>16112</v>
      </c>
      <c r="BU139" s="516"/>
      <c r="BV139" s="517"/>
      <c r="BW139" s="518"/>
    </row>
    <row r="140" spans="1:75" ht="36">
      <c r="A140" s="519" t="s">
        <v>49</v>
      </c>
      <c r="B140" s="520">
        <v>43</v>
      </c>
      <c r="C140" s="520" t="s">
        <v>27</v>
      </c>
      <c r="D140" s="521">
        <v>3433</v>
      </c>
      <c r="E140" s="522" t="s">
        <v>725</v>
      </c>
      <c r="F140" s="523" t="s">
        <v>686</v>
      </c>
      <c r="G140" s="497">
        <f t="shared" si="17"/>
        <v>40500</v>
      </c>
      <c r="H140" s="498">
        <f t="shared" si="17"/>
        <v>33000</v>
      </c>
      <c r="I140" s="499">
        <f t="shared" si="17"/>
        <v>22500</v>
      </c>
      <c r="J140" s="500"/>
      <c r="K140" s="501"/>
      <c r="L140" s="502"/>
      <c r="M140" s="503"/>
      <c r="N140" s="501"/>
      <c r="O140" s="504"/>
      <c r="P140" s="500"/>
      <c r="Q140" s="501"/>
      <c r="R140" s="502"/>
      <c r="S140" s="503"/>
      <c r="T140" s="501"/>
      <c r="U140" s="504"/>
      <c r="V140" s="500"/>
      <c r="W140" s="501"/>
      <c r="X140" s="502"/>
      <c r="Y140" s="505">
        <f t="shared" si="18"/>
        <v>0</v>
      </c>
      <c r="Z140" s="506">
        <f t="shared" si="18"/>
        <v>0</v>
      </c>
      <c r="AA140" s="507">
        <f t="shared" si="18"/>
        <v>0</v>
      </c>
      <c r="AB140" s="500"/>
      <c r="AC140" s="501"/>
      <c r="AD140" s="502"/>
      <c r="AE140" s="503"/>
      <c r="AF140" s="501"/>
      <c r="AG140" s="504"/>
      <c r="AH140" s="500"/>
      <c r="AI140" s="501"/>
      <c r="AJ140" s="502"/>
      <c r="AK140" s="503"/>
      <c r="AL140" s="501"/>
      <c r="AM140" s="504"/>
      <c r="AN140" s="500"/>
      <c r="AO140" s="501"/>
      <c r="AP140" s="502"/>
      <c r="AQ140" s="503"/>
      <c r="AR140" s="501"/>
      <c r="AS140" s="504"/>
      <c r="AT140" s="599">
        <f>75000-60000</f>
        <v>15000</v>
      </c>
      <c r="AU140" s="600">
        <v>15000</v>
      </c>
      <c r="AV140" s="601">
        <v>7500</v>
      </c>
      <c r="AW140" s="503">
        <v>22500</v>
      </c>
      <c r="AX140" s="501">
        <v>15000</v>
      </c>
      <c r="AY140" s="504">
        <v>11000</v>
      </c>
      <c r="AZ140" s="500"/>
      <c r="BA140" s="501"/>
      <c r="BB140" s="502"/>
      <c r="BC140" s="503"/>
      <c r="BD140" s="501"/>
      <c r="BE140" s="504"/>
      <c r="BF140" s="500">
        <v>2000</v>
      </c>
      <c r="BG140" s="501">
        <v>2000</v>
      </c>
      <c r="BH140" s="502">
        <v>2000</v>
      </c>
      <c r="BI140" s="503">
        <v>1000</v>
      </c>
      <c r="BJ140" s="501">
        <v>1000</v>
      </c>
      <c r="BK140" s="504">
        <v>2000</v>
      </c>
      <c r="BL140" s="500"/>
      <c r="BM140" s="501"/>
      <c r="BN140" s="502"/>
      <c r="BO140" s="503"/>
      <c r="BP140" s="501"/>
      <c r="BQ140" s="504"/>
      <c r="BR140" s="513">
        <f t="shared" si="19"/>
        <v>40500</v>
      </c>
      <c r="BS140" s="514">
        <f t="shared" si="19"/>
        <v>33000</v>
      </c>
      <c r="BT140" s="515">
        <f t="shared" si="19"/>
        <v>22500</v>
      </c>
      <c r="BU140" s="516"/>
      <c r="BV140" s="517"/>
      <c r="BW140" s="518"/>
    </row>
    <row r="141" spans="1:75" ht="36">
      <c r="A141" s="519" t="s">
        <v>49</v>
      </c>
      <c r="B141" s="520">
        <v>43</v>
      </c>
      <c r="C141" s="520" t="s">
        <v>27</v>
      </c>
      <c r="D141" s="521">
        <v>3434</v>
      </c>
      <c r="E141" s="522" t="s">
        <v>94</v>
      </c>
      <c r="F141" s="523" t="s">
        <v>686</v>
      </c>
      <c r="G141" s="497">
        <f t="shared" ref="G141:I158" si="20">BR141+BU141</f>
        <v>293539</v>
      </c>
      <c r="H141" s="498">
        <f t="shared" si="20"/>
        <v>298539</v>
      </c>
      <c r="I141" s="499">
        <f t="shared" si="20"/>
        <v>298539</v>
      </c>
      <c r="J141" s="500"/>
      <c r="K141" s="501"/>
      <c r="L141" s="502"/>
      <c r="M141" s="503"/>
      <c r="N141" s="501"/>
      <c r="O141" s="504"/>
      <c r="P141" s="500"/>
      <c r="Q141" s="501"/>
      <c r="R141" s="502"/>
      <c r="S141" s="503"/>
      <c r="T141" s="501"/>
      <c r="U141" s="504"/>
      <c r="V141" s="500"/>
      <c r="W141" s="501"/>
      <c r="X141" s="502"/>
      <c r="Y141" s="505">
        <f t="shared" ref="Y141:AA158" si="21">J141+M141+P141+S141+V141</f>
        <v>0</v>
      </c>
      <c r="Z141" s="506">
        <f t="shared" si="21"/>
        <v>0</v>
      </c>
      <c r="AA141" s="507">
        <f t="shared" si="21"/>
        <v>0</v>
      </c>
      <c r="AB141" s="500"/>
      <c r="AC141" s="501"/>
      <c r="AD141" s="502"/>
      <c r="AE141" s="503"/>
      <c r="AF141" s="501"/>
      <c r="AG141" s="504"/>
      <c r="AH141" s="500">
        <v>10000</v>
      </c>
      <c r="AI141" s="501">
        <v>10000</v>
      </c>
      <c r="AJ141" s="502">
        <v>10000</v>
      </c>
      <c r="AK141" s="503">
        <v>280439</v>
      </c>
      <c r="AL141" s="501">
        <v>285439</v>
      </c>
      <c r="AM141" s="504">
        <v>285439</v>
      </c>
      <c r="AN141" s="500"/>
      <c r="AO141" s="501"/>
      <c r="AP141" s="502"/>
      <c r="AQ141" s="503"/>
      <c r="AR141" s="501"/>
      <c r="AS141" s="504"/>
      <c r="AT141" s="500"/>
      <c r="AU141" s="501"/>
      <c r="AV141" s="502"/>
      <c r="AW141" s="503"/>
      <c r="AX141" s="501"/>
      <c r="AY141" s="504"/>
      <c r="AZ141" s="500"/>
      <c r="BA141" s="501"/>
      <c r="BB141" s="502"/>
      <c r="BC141" s="503"/>
      <c r="BD141" s="501"/>
      <c r="BE141" s="504"/>
      <c r="BF141" s="500"/>
      <c r="BG141" s="501"/>
      <c r="BH141" s="502"/>
      <c r="BI141" s="503">
        <v>3000</v>
      </c>
      <c r="BJ141" s="501">
        <v>3000</v>
      </c>
      <c r="BK141" s="504">
        <v>3000</v>
      </c>
      <c r="BL141" s="500"/>
      <c r="BM141" s="501"/>
      <c r="BN141" s="502"/>
      <c r="BO141" s="503">
        <v>100</v>
      </c>
      <c r="BP141" s="501">
        <v>100</v>
      </c>
      <c r="BQ141" s="504">
        <v>100</v>
      </c>
      <c r="BR141" s="513">
        <f t="shared" ref="BR141:BT158" si="22">AB141+AE141+AH141+AK141+AN141+AQ141+AT141+AW141+AZ141+BC141+BF141+BI141+BL141+BO141+Y141</f>
        <v>293539</v>
      </c>
      <c r="BS141" s="514">
        <f t="shared" si="22"/>
        <v>298539</v>
      </c>
      <c r="BT141" s="515">
        <f t="shared" si="22"/>
        <v>298539</v>
      </c>
      <c r="BU141" s="516"/>
      <c r="BV141" s="517"/>
      <c r="BW141" s="518"/>
    </row>
    <row r="142" spans="1:75" ht="36">
      <c r="A142" s="519" t="s">
        <v>49</v>
      </c>
      <c r="B142" s="520">
        <v>43</v>
      </c>
      <c r="C142" s="520" t="s">
        <v>27</v>
      </c>
      <c r="D142" s="521">
        <v>3721</v>
      </c>
      <c r="E142" s="522" t="s">
        <v>809</v>
      </c>
      <c r="F142" s="523" t="s">
        <v>686</v>
      </c>
      <c r="G142" s="497">
        <f t="shared" si="20"/>
        <v>1068127</v>
      </c>
      <c r="H142" s="498">
        <f t="shared" si="20"/>
        <v>641832</v>
      </c>
      <c r="I142" s="499">
        <f t="shared" si="20"/>
        <v>702445</v>
      </c>
      <c r="J142" s="500">
        <f>1200000-651273</f>
        <v>548727</v>
      </c>
      <c r="K142" s="501">
        <f>1200000-1119271</f>
        <v>80729</v>
      </c>
      <c r="L142" s="502">
        <f>1200000-1038210</f>
        <v>161790</v>
      </c>
      <c r="M142" s="503">
        <v>10000</v>
      </c>
      <c r="N142" s="501">
        <v>10200</v>
      </c>
      <c r="O142" s="504">
        <v>10400</v>
      </c>
      <c r="P142" s="500">
        <v>5000</v>
      </c>
      <c r="Q142" s="501">
        <v>5000</v>
      </c>
      <c r="R142" s="502">
        <v>5000</v>
      </c>
      <c r="S142" s="503">
        <v>25000</v>
      </c>
      <c r="T142" s="501">
        <v>25525</v>
      </c>
      <c r="U142" s="504">
        <v>25729</v>
      </c>
      <c r="V142" s="500">
        <v>13400</v>
      </c>
      <c r="W142" s="501">
        <v>14000</v>
      </c>
      <c r="X142" s="502">
        <v>14000</v>
      </c>
      <c r="Y142" s="505">
        <f t="shared" si="21"/>
        <v>602127</v>
      </c>
      <c r="Z142" s="506">
        <f t="shared" si="21"/>
        <v>135454</v>
      </c>
      <c r="AA142" s="507">
        <f t="shared" si="21"/>
        <v>216919</v>
      </c>
      <c r="AB142" s="500"/>
      <c r="AC142" s="501"/>
      <c r="AD142" s="502"/>
      <c r="AE142" s="503"/>
      <c r="AF142" s="501"/>
      <c r="AG142" s="504"/>
      <c r="AH142" s="500">
        <v>45000</v>
      </c>
      <c r="AI142" s="501">
        <v>45000</v>
      </c>
      <c r="AJ142" s="502">
        <v>45000</v>
      </c>
      <c r="AK142" s="503">
        <f>140000+60000</f>
        <v>200000</v>
      </c>
      <c r="AL142" s="501">
        <f>140000+60000</f>
        <v>200000</v>
      </c>
      <c r="AM142" s="504">
        <f>140000+60000</f>
        <v>200000</v>
      </c>
      <c r="AN142" s="500">
        <v>25000</v>
      </c>
      <c r="AO142" s="501">
        <v>25000</v>
      </c>
      <c r="AP142" s="502">
        <v>25000</v>
      </c>
      <c r="AQ142" s="503"/>
      <c r="AR142" s="501"/>
      <c r="AS142" s="504"/>
      <c r="AT142" s="500"/>
      <c r="AU142" s="501"/>
      <c r="AV142" s="502"/>
      <c r="AW142" s="503">
        <f>140000-100000</f>
        <v>40000</v>
      </c>
      <c r="AX142" s="501">
        <f>140000-100000</f>
        <v>40000</v>
      </c>
      <c r="AY142" s="504">
        <v>14000</v>
      </c>
      <c r="AZ142" s="500">
        <v>12000</v>
      </c>
      <c r="BA142" s="501">
        <v>12000</v>
      </c>
      <c r="BB142" s="502">
        <v>12000</v>
      </c>
      <c r="BC142" s="503">
        <v>18000</v>
      </c>
      <c r="BD142" s="501">
        <v>18378</v>
      </c>
      <c r="BE142" s="504">
        <v>18526</v>
      </c>
      <c r="BF142" s="500">
        <v>51000</v>
      </c>
      <c r="BG142" s="501">
        <v>51000</v>
      </c>
      <c r="BH142" s="502">
        <v>51000</v>
      </c>
      <c r="BI142" s="503">
        <v>25000</v>
      </c>
      <c r="BJ142" s="501">
        <v>25000</v>
      </c>
      <c r="BK142" s="504">
        <v>30000</v>
      </c>
      <c r="BL142" s="500">
        <v>50000</v>
      </c>
      <c r="BM142" s="501">
        <v>90000</v>
      </c>
      <c r="BN142" s="502">
        <v>90000</v>
      </c>
      <c r="BO142" s="503"/>
      <c r="BP142" s="501"/>
      <c r="BQ142" s="504"/>
      <c r="BR142" s="513">
        <f t="shared" si="22"/>
        <v>1068127</v>
      </c>
      <c r="BS142" s="514">
        <f t="shared" si="22"/>
        <v>641832</v>
      </c>
      <c r="BT142" s="515">
        <f t="shared" si="22"/>
        <v>702445</v>
      </c>
      <c r="BU142" s="516"/>
      <c r="BV142" s="517"/>
      <c r="BW142" s="518"/>
    </row>
    <row r="143" spans="1:75" ht="36">
      <c r="A143" s="519" t="s">
        <v>49</v>
      </c>
      <c r="B143" s="520">
        <v>43</v>
      </c>
      <c r="C143" s="520" t="s">
        <v>27</v>
      </c>
      <c r="D143" s="521">
        <v>3811</v>
      </c>
      <c r="E143" s="522" t="s">
        <v>56</v>
      </c>
      <c r="F143" s="523" t="s">
        <v>686</v>
      </c>
      <c r="G143" s="497">
        <f t="shared" si="20"/>
        <v>47500</v>
      </c>
      <c r="H143" s="498">
        <f t="shared" si="20"/>
        <v>47500</v>
      </c>
      <c r="I143" s="499">
        <f t="shared" si="20"/>
        <v>47500</v>
      </c>
      <c r="J143" s="500"/>
      <c r="K143" s="501"/>
      <c r="L143" s="502"/>
      <c r="M143" s="503"/>
      <c r="N143" s="501"/>
      <c r="O143" s="504"/>
      <c r="P143" s="500"/>
      <c r="Q143" s="501"/>
      <c r="R143" s="502"/>
      <c r="S143" s="503"/>
      <c r="T143" s="501"/>
      <c r="U143" s="504"/>
      <c r="V143" s="500"/>
      <c r="W143" s="501"/>
      <c r="X143" s="502"/>
      <c r="Y143" s="505">
        <f t="shared" si="21"/>
        <v>0</v>
      </c>
      <c r="Z143" s="506">
        <f t="shared" si="21"/>
        <v>0</v>
      </c>
      <c r="AA143" s="507">
        <f t="shared" si="21"/>
        <v>0</v>
      </c>
      <c r="AB143" s="500"/>
      <c r="AC143" s="501"/>
      <c r="AD143" s="502"/>
      <c r="AE143" s="503"/>
      <c r="AF143" s="501"/>
      <c r="AG143" s="504"/>
      <c r="AH143" s="500"/>
      <c r="AI143" s="501"/>
      <c r="AJ143" s="502"/>
      <c r="AK143" s="503"/>
      <c r="AL143" s="501"/>
      <c r="AM143" s="504"/>
      <c r="AN143" s="500"/>
      <c r="AO143" s="501"/>
      <c r="AP143" s="502"/>
      <c r="AQ143" s="503"/>
      <c r="AR143" s="501"/>
      <c r="AS143" s="504"/>
      <c r="AT143" s="500"/>
      <c r="AU143" s="501"/>
      <c r="AV143" s="502"/>
      <c r="AW143" s="503">
        <v>4500</v>
      </c>
      <c r="AX143" s="501">
        <v>4500</v>
      </c>
      <c r="AY143" s="504">
        <v>4500</v>
      </c>
      <c r="AZ143" s="500"/>
      <c r="BA143" s="501"/>
      <c r="BB143" s="502"/>
      <c r="BC143" s="503"/>
      <c r="BD143" s="501"/>
      <c r="BE143" s="504"/>
      <c r="BF143" s="500">
        <v>13000</v>
      </c>
      <c r="BG143" s="501">
        <v>13000</v>
      </c>
      <c r="BH143" s="502">
        <v>13000</v>
      </c>
      <c r="BI143" s="503">
        <v>30000</v>
      </c>
      <c r="BJ143" s="501">
        <v>30000</v>
      </c>
      <c r="BK143" s="504">
        <v>30000</v>
      </c>
      <c r="BL143" s="500"/>
      <c r="BM143" s="501"/>
      <c r="BN143" s="502"/>
      <c r="BO143" s="503"/>
      <c r="BP143" s="501"/>
      <c r="BQ143" s="504"/>
      <c r="BR143" s="513">
        <f t="shared" si="22"/>
        <v>47500</v>
      </c>
      <c r="BS143" s="514">
        <f t="shared" si="22"/>
        <v>47500</v>
      </c>
      <c r="BT143" s="515">
        <f t="shared" si="22"/>
        <v>47500</v>
      </c>
      <c r="BU143" s="516"/>
      <c r="BV143" s="517"/>
      <c r="BW143" s="518"/>
    </row>
    <row r="144" spans="1:75" ht="36">
      <c r="A144" s="519" t="s">
        <v>49</v>
      </c>
      <c r="B144" s="520">
        <v>43</v>
      </c>
      <c r="C144" s="520" t="s">
        <v>27</v>
      </c>
      <c r="D144" s="521">
        <v>3812</v>
      </c>
      <c r="E144" s="522" t="s">
        <v>781</v>
      </c>
      <c r="F144" s="523" t="s">
        <v>686</v>
      </c>
      <c r="G144" s="497">
        <f t="shared" si="20"/>
        <v>3000</v>
      </c>
      <c r="H144" s="498">
        <f t="shared" si="20"/>
        <v>3000</v>
      </c>
      <c r="I144" s="499">
        <f t="shared" si="20"/>
        <v>4000</v>
      </c>
      <c r="J144" s="500"/>
      <c r="K144" s="501"/>
      <c r="L144" s="502"/>
      <c r="M144" s="503"/>
      <c r="N144" s="501"/>
      <c r="O144" s="504"/>
      <c r="P144" s="500"/>
      <c r="Q144" s="501"/>
      <c r="R144" s="502"/>
      <c r="S144" s="503"/>
      <c r="T144" s="501"/>
      <c r="U144" s="504"/>
      <c r="V144" s="500"/>
      <c r="W144" s="501"/>
      <c r="X144" s="502"/>
      <c r="Y144" s="505">
        <f t="shared" si="21"/>
        <v>0</v>
      </c>
      <c r="Z144" s="506">
        <f t="shared" si="21"/>
        <v>0</v>
      </c>
      <c r="AA144" s="507">
        <f t="shared" si="21"/>
        <v>0</v>
      </c>
      <c r="AB144" s="500"/>
      <c r="AC144" s="501"/>
      <c r="AD144" s="502"/>
      <c r="AE144" s="503"/>
      <c r="AF144" s="501"/>
      <c r="AG144" s="504"/>
      <c r="AH144" s="500"/>
      <c r="AI144" s="501"/>
      <c r="AJ144" s="502"/>
      <c r="AK144" s="503"/>
      <c r="AL144" s="501"/>
      <c r="AM144" s="504"/>
      <c r="AN144" s="500"/>
      <c r="AO144" s="501"/>
      <c r="AP144" s="502"/>
      <c r="AQ144" s="503"/>
      <c r="AR144" s="501"/>
      <c r="AS144" s="504"/>
      <c r="AT144" s="500"/>
      <c r="AU144" s="501"/>
      <c r="AV144" s="502"/>
      <c r="AW144" s="503"/>
      <c r="AX144" s="501"/>
      <c r="AY144" s="504"/>
      <c r="AZ144" s="500"/>
      <c r="BA144" s="501"/>
      <c r="BB144" s="502"/>
      <c r="BC144" s="503"/>
      <c r="BD144" s="501"/>
      <c r="BE144" s="504"/>
      <c r="BF144" s="500"/>
      <c r="BG144" s="501"/>
      <c r="BH144" s="502"/>
      <c r="BI144" s="503">
        <v>3000</v>
      </c>
      <c r="BJ144" s="501">
        <v>3000</v>
      </c>
      <c r="BK144" s="504">
        <v>4000</v>
      </c>
      <c r="BL144" s="500"/>
      <c r="BM144" s="501"/>
      <c r="BN144" s="502"/>
      <c r="BO144" s="503"/>
      <c r="BP144" s="501"/>
      <c r="BQ144" s="504"/>
      <c r="BR144" s="513">
        <f t="shared" si="22"/>
        <v>3000</v>
      </c>
      <c r="BS144" s="514">
        <f t="shared" si="22"/>
        <v>3000</v>
      </c>
      <c r="BT144" s="515">
        <f t="shared" si="22"/>
        <v>4000</v>
      </c>
      <c r="BU144" s="516"/>
      <c r="BV144" s="517"/>
      <c r="BW144" s="518"/>
    </row>
    <row r="145" spans="1:75" ht="36">
      <c r="A145" s="519" t="s">
        <v>49</v>
      </c>
      <c r="B145" s="520">
        <v>43</v>
      </c>
      <c r="C145" s="520" t="s">
        <v>27</v>
      </c>
      <c r="D145" s="521">
        <v>4123</v>
      </c>
      <c r="E145" s="522" t="s">
        <v>92</v>
      </c>
      <c r="F145" s="523" t="s">
        <v>686</v>
      </c>
      <c r="G145" s="497">
        <f t="shared" si="20"/>
        <v>10000</v>
      </c>
      <c r="H145" s="498">
        <f t="shared" si="20"/>
        <v>60000</v>
      </c>
      <c r="I145" s="499">
        <f t="shared" si="20"/>
        <v>60000</v>
      </c>
      <c r="J145" s="500"/>
      <c r="K145" s="501"/>
      <c r="L145" s="502"/>
      <c r="M145" s="503"/>
      <c r="N145" s="501"/>
      <c r="O145" s="504"/>
      <c r="P145" s="500"/>
      <c r="Q145" s="501"/>
      <c r="R145" s="502"/>
      <c r="S145" s="503"/>
      <c r="T145" s="501"/>
      <c r="U145" s="504"/>
      <c r="V145" s="500"/>
      <c r="W145" s="501"/>
      <c r="X145" s="502"/>
      <c r="Y145" s="505">
        <f t="shared" si="21"/>
        <v>0</v>
      </c>
      <c r="Z145" s="506">
        <f t="shared" si="21"/>
        <v>0</v>
      </c>
      <c r="AA145" s="507">
        <f t="shared" si="21"/>
        <v>0</v>
      </c>
      <c r="AB145" s="500"/>
      <c r="AC145" s="501"/>
      <c r="AD145" s="502"/>
      <c r="AE145" s="503"/>
      <c r="AF145" s="501"/>
      <c r="AG145" s="504"/>
      <c r="AH145" s="500"/>
      <c r="AI145" s="501"/>
      <c r="AJ145" s="502"/>
      <c r="AK145" s="503"/>
      <c r="AL145" s="501"/>
      <c r="AM145" s="504"/>
      <c r="AN145" s="500"/>
      <c r="AO145" s="501"/>
      <c r="AP145" s="502"/>
      <c r="AQ145" s="503"/>
      <c r="AR145" s="501"/>
      <c r="AS145" s="504"/>
      <c r="AT145" s="500"/>
      <c r="AU145" s="501"/>
      <c r="AV145" s="502"/>
      <c r="AW145" s="503"/>
      <c r="AX145" s="501"/>
      <c r="AY145" s="504"/>
      <c r="AZ145" s="500"/>
      <c r="BA145" s="501"/>
      <c r="BB145" s="502"/>
      <c r="BC145" s="503"/>
      <c r="BD145" s="501"/>
      <c r="BE145" s="504"/>
      <c r="BF145" s="500">
        <v>10000</v>
      </c>
      <c r="BG145" s="501">
        <v>60000</v>
      </c>
      <c r="BH145" s="502">
        <v>60000</v>
      </c>
      <c r="BI145" s="503"/>
      <c r="BJ145" s="501"/>
      <c r="BK145" s="504"/>
      <c r="BL145" s="500"/>
      <c r="BM145" s="501"/>
      <c r="BN145" s="502"/>
      <c r="BO145" s="503"/>
      <c r="BP145" s="501"/>
      <c r="BQ145" s="504"/>
      <c r="BR145" s="513">
        <f t="shared" si="22"/>
        <v>10000</v>
      </c>
      <c r="BS145" s="514">
        <f t="shared" si="22"/>
        <v>60000</v>
      </c>
      <c r="BT145" s="515">
        <f t="shared" si="22"/>
        <v>60000</v>
      </c>
      <c r="BU145" s="516"/>
      <c r="BV145" s="517"/>
      <c r="BW145" s="518"/>
    </row>
    <row r="146" spans="1:75" ht="36">
      <c r="A146" s="519" t="s">
        <v>49</v>
      </c>
      <c r="B146" s="520">
        <v>43</v>
      </c>
      <c r="C146" s="520" t="s">
        <v>27</v>
      </c>
      <c r="D146" s="521">
        <v>4124</v>
      </c>
      <c r="E146" s="522" t="s">
        <v>721</v>
      </c>
      <c r="F146" s="523" t="s">
        <v>686</v>
      </c>
      <c r="G146" s="497">
        <f t="shared" si="20"/>
        <v>905673</v>
      </c>
      <c r="H146" s="498">
        <f t="shared" si="20"/>
        <v>665673</v>
      </c>
      <c r="I146" s="499">
        <f t="shared" si="20"/>
        <v>665673</v>
      </c>
      <c r="J146" s="500"/>
      <c r="K146" s="501"/>
      <c r="L146" s="502"/>
      <c r="M146" s="503"/>
      <c r="N146" s="501"/>
      <c r="O146" s="504"/>
      <c r="P146" s="500"/>
      <c r="Q146" s="501"/>
      <c r="R146" s="502"/>
      <c r="S146" s="503"/>
      <c r="T146" s="501"/>
      <c r="U146" s="504"/>
      <c r="V146" s="500"/>
      <c r="W146" s="501"/>
      <c r="X146" s="502"/>
      <c r="Y146" s="505">
        <f t="shared" si="21"/>
        <v>0</v>
      </c>
      <c r="Z146" s="506">
        <f t="shared" si="21"/>
        <v>0</v>
      </c>
      <c r="AA146" s="507">
        <f t="shared" si="21"/>
        <v>0</v>
      </c>
      <c r="AB146" s="500"/>
      <c r="AC146" s="501"/>
      <c r="AD146" s="502"/>
      <c r="AE146" s="503"/>
      <c r="AF146" s="501"/>
      <c r="AG146" s="504"/>
      <c r="AH146" s="500">
        <f>350000-350000</f>
        <v>0</v>
      </c>
      <c r="AI146" s="501">
        <f>200000-200000</f>
        <v>0</v>
      </c>
      <c r="AJ146" s="502">
        <f>200000-200000</f>
        <v>0</v>
      </c>
      <c r="AK146" s="503">
        <v>665673</v>
      </c>
      <c r="AL146" s="501">
        <v>665673</v>
      </c>
      <c r="AM146" s="504">
        <v>665673</v>
      </c>
      <c r="AN146" s="500"/>
      <c r="AO146" s="501"/>
      <c r="AP146" s="502"/>
      <c r="AQ146" s="503"/>
      <c r="AR146" s="501"/>
      <c r="AS146" s="504"/>
      <c r="AT146" s="500"/>
      <c r="AU146" s="501"/>
      <c r="AV146" s="502"/>
      <c r="AW146" s="503"/>
      <c r="AX146" s="501"/>
      <c r="AY146" s="504"/>
      <c r="AZ146" s="500"/>
      <c r="BA146" s="501"/>
      <c r="BB146" s="502"/>
      <c r="BC146" s="503"/>
      <c r="BD146" s="501"/>
      <c r="BE146" s="504"/>
      <c r="BF146" s="500"/>
      <c r="BG146" s="501"/>
      <c r="BH146" s="502"/>
      <c r="BI146" s="503">
        <v>240000</v>
      </c>
      <c r="BJ146" s="501"/>
      <c r="BK146" s="504"/>
      <c r="BL146" s="500"/>
      <c r="BM146" s="501"/>
      <c r="BN146" s="502"/>
      <c r="BO146" s="503"/>
      <c r="BP146" s="501"/>
      <c r="BQ146" s="504"/>
      <c r="BR146" s="513">
        <f t="shared" si="22"/>
        <v>905673</v>
      </c>
      <c r="BS146" s="514">
        <f t="shared" si="22"/>
        <v>665673</v>
      </c>
      <c r="BT146" s="515">
        <f t="shared" si="22"/>
        <v>665673</v>
      </c>
      <c r="BU146" s="516"/>
      <c r="BV146" s="517"/>
      <c r="BW146" s="518"/>
    </row>
    <row r="147" spans="1:75" ht="36">
      <c r="A147" s="519" t="s">
        <v>49</v>
      </c>
      <c r="B147" s="520">
        <v>43</v>
      </c>
      <c r="C147" s="520" t="s">
        <v>27</v>
      </c>
      <c r="D147" s="521">
        <v>4212</v>
      </c>
      <c r="E147" s="522" t="s">
        <v>58</v>
      </c>
      <c r="F147" s="523" t="s">
        <v>686</v>
      </c>
      <c r="G147" s="497">
        <f t="shared" si="20"/>
        <v>9600000</v>
      </c>
      <c r="H147" s="498">
        <f t="shared" si="20"/>
        <v>5000000</v>
      </c>
      <c r="I147" s="499">
        <f t="shared" si="20"/>
        <v>5000000</v>
      </c>
      <c r="J147" s="500">
        <f>3000000</f>
        <v>3000000</v>
      </c>
      <c r="K147" s="501"/>
      <c r="L147" s="502"/>
      <c r="M147" s="503"/>
      <c r="N147" s="501"/>
      <c r="O147" s="504"/>
      <c r="P147" s="500"/>
      <c r="Q147" s="501"/>
      <c r="R147" s="502"/>
      <c r="S147" s="503"/>
      <c r="T147" s="501"/>
      <c r="U147" s="504"/>
      <c r="V147" s="500"/>
      <c r="W147" s="501"/>
      <c r="X147" s="502"/>
      <c r="Y147" s="505">
        <f t="shared" si="21"/>
        <v>3000000</v>
      </c>
      <c r="Z147" s="506">
        <f t="shared" si="21"/>
        <v>0</v>
      </c>
      <c r="AA147" s="507">
        <f t="shared" si="21"/>
        <v>0</v>
      </c>
      <c r="AB147" s="500"/>
      <c r="AC147" s="501"/>
      <c r="AD147" s="502"/>
      <c r="AE147" s="503">
        <v>2000000</v>
      </c>
      <c r="AF147" s="501">
        <v>5000000</v>
      </c>
      <c r="AG147" s="504">
        <v>5000000</v>
      </c>
      <c r="AH147" s="500"/>
      <c r="AI147" s="501"/>
      <c r="AJ147" s="502"/>
      <c r="AK147" s="503"/>
      <c r="AL147" s="501"/>
      <c r="AM147" s="504"/>
      <c r="AN147" s="500">
        <f>2000000-500000</f>
        <v>1500000</v>
      </c>
      <c r="AO147" s="501">
        <v>0</v>
      </c>
      <c r="AP147" s="502">
        <v>0</v>
      </c>
      <c r="AQ147" s="503"/>
      <c r="AR147" s="501"/>
      <c r="AS147" s="504"/>
      <c r="AT147" s="500"/>
      <c r="AU147" s="501"/>
      <c r="AV147" s="502"/>
      <c r="AW147" s="503"/>
      <c r="AX147" s="501"/>
      <c r="AY147" s="504"/>
      <c r="AZ147" s="500"/>
      <c r="BA147" s="501"/>
      <c r="BB147" s="502"/>
      <c r="BC147" s="503"/>
      <c r="BD147" s="501"/>
      <c r="BE147" s="504"/>
      <c r="BF147" s="500"/>
      <c r="BG147" s="501"/>
      <c r="BH147" s="502"/>
      <c r="BI147" s="503"/>
      <c r="BJ147" s="501"/>
      <c r="BK147" s="504"/>
      <c r="BL147" s="500">
        <f>6100000-1000000-2000000</f>
        <v>3100000</v>
      </c>
      <c r="BM147" s="501"/>
      <c r="BN147" s="502"/>
      <c r="BO147" s="503"/>
      <c r="BP147" s="501"/>
      <c r="BQ147" s="504"/>
      <c r="BR147" s="513">
        <f t="shared" si="22"/>
        <v>9600000</v>
      </c>
      <c r="BS147" s="514">
        <f t="shared" si="22"/>
        <v>5000000</v>
      </c>
      <c r="BT147" s="515">
        <f t="shared" si="22"/>
        <v>5000000</v>
      </c>
      <c r="BU147" s="516"/>
      <c r="BV147" s="517"/>
      <c r="BW147" s="518"/>
    </row>
    <row r="148" spans="1:75" ht="36">
      <c r="A148" s="519" t="s">
        <v>49</v>
      </c>
      <c r="B148" s="520">
        <v>43</v>
      </c>
      <c r="C148" s="520" t="s">
        <v>27</v>
      </c>
      <c r="D148" s="521">
        <v>4221</v>
      </c>
      <c r="E148" s="522" t="s">
        <v>63</v>
      </c>
      <c r="F148" s="523" t="s">
        <v>686</v>
      </c>
      <c r="G148" s="497">
        <f t="shared" si="20"/>
        <v>2831022</v>
      </c>
      <c r="H148" s="498">
        <f t="shared" si="20"/>
        <v>3267717</v>
      </c>
      <c r="I148" s="499">
        <f t="shared" si="20"/>
        <v>3287254</v>
      </c>
      <c r="J148" s="500">
        <v>150000</v>
      </c>
      <c r="K148" s="501">
        <v>150000</v>
      </c>
      <c r="L148" s="502">
        <v>100000</v>
      </c>
      <c r="M148" s="503">
        <v>10000</v>
      </c>
      <c r="N148" s="501">
        <v>10200</v>
      </c>
      <c r="O148" s="504">
        <v>10400</v>
      </c>
      <c r="P148" s="500">
        <v>10000</v>
      </c>
      <c r="Q148" s="501">
        <v>10000</v>
      </c>
      <c r="R148" s="502">
        <v>10000</v>
      </c>
      <c r="S148" s="503">
        <v>29000</v>
      </c>
      <c r="T148" s="501">
        <v>29609</v>
      </c>
      <c r="U148" s="504">
        <v>29846</v>
      </c>
      <c r="V148" s="500">
        <v>68500</v>
      </c>
      <c r="W148" s="501">
        <v>69000</v>
      </c>
      <c r="X148" s="502">
        <v>69500</v>
      </c>
      <c r="Y148" s="505">
        <f t="shared" si="21"/>
        <v>267500</v>
      </c>
      <c r="Z148" s="506">
        <f t="shared" si="21"/>
        <v>268809</v>
      </c>
      <c r="AA148" s="507">
        <f t="shared" si="21"/>
        <v>219746</v>
      </c>
      <c r="AB148" s="500">
        <v>120000</v>
      </c>
      <c r="AC148" s="501">
        <v>120000</v>
      </c>
      <c r="AD148" s="502">
        <v>120000</v>
      </c>
      <c r="AE148" s="503">
        <v>37000</v>
      </c>
      <c r="AF148" s="501">
        <v>300000</v>
      </c>
      <c r="AG148" s="504">
        <v>300000</v>
      </c>
      <c r="AH148" s="500">
        <f>60000-41038</f>
        <v>18962</v>
      </c>
      <c r="AI148" s="501">
        <v>50000</v>
      </c>
      <c r="AJ148" s="502">
        <v>50000</v>
      </c>
      <c r="AK148" s="503">
        <v>1422260</v>
      </c>
      <c r="AL148" s="501">
        <v>1551603</v>
      </c>
      <c r="AM148" s="504">
        <v>1551603</v>
      </c>
      <c r="AN148" s="500">
        <f>60000-60000</f>
        <v>0</v>
      </c>
      <c r="AO148" s="501">
        <f>60000-60000</f>
        <v>0</v>
      </c>
      <c r="AP148" s="502">
        <f>60000-60000</f>
        <v>0</v>
      </c>
      <c r="AQ148" s="503">
        <f>300000-150000</f>
        <v>150000</v>
      </c>
      <c r="AR148" s="501">
        <v>300000</v>
      </c>
      <c r="AS148" s="504">
        <v>300000</v>
      </c>
      <c r="AT148" s="599">
        <v>145000</v>
      </c>
      <c r="AU148" s="600">
        <v>147900</v>
      </c>
      <c r="AV148" s="601">
        <v>147900</v>
      </c>
      <c r="AW148" s="503">
        <f>250000-200000</f>
        <v>50000</v>
      </c>
      <c r="AX148" s="501">
        <f>210000-142468</f>
        <v>67532</v>
      </c>
      <c r="AY148" s="504">
        <f>210000-74975</f>
        <v>135025</v>
      </c>
      <c r="AZ148" s="500">
        <v>30000</v>
      </c>
      <c r="BA148" s="501">
        <v>30000</v>
      </c>
      <c r="BB148" s="502">
        <v>30000</v>
      </c>
      <c r="BC148" s="503">
        <v>13000</v>
      </c>
      <c r="BD148" s="501">
        <v>13273</v>
      </c>
      <c r="BE148" s="504">
        <v>13380</v>
      </c>
      <c r="BF148" s="500">
        <v>320000</v>
      </c>
      <c r="BG148" s="501">
        <v>320000</v>
      </c>
      <c r="BH148" s="502">
        <v>320000</v>
      </c>
      <c r="BI148" s="503">
        <v>222000</v>
      </c>
      <c r="BJ148" s="501">
        <v>56000</v>
      </c>
      <c r="BK148" s="504">
        <v>52000</v>
      </c>
      <c r="BL148" s="500"/>
      <c r="BM148" s="501"/>
      <c r="BN148" s="502"/>
      <c r="BO148" s="503">
        <v>35300</v>
      </c>
      <c r="BP148" s="501">
        <v>42600</v>
      </c>
      <c r="BQ148" s="504">
        <v>47600</v>
      </c>
      <c r="BR148" s="513">
        <f t="shared" si="22"/>
        <v>2831022</v>
      </c>
      <c r="BS148" s="514">
        <f t="shared" si="22"/>
        <v>3267717</v>
      </c>
      <c r="BT148" s="515">
        <f t="shared" si="22"/>
        <v>3287254</v>
      </c>
      <c r="BU148" s="516"/>
      <c r="BV148" s="517"/>
      <c r="BW148" s="518"/>
    </row>
    <row r="149" spans="1:75" ht="36">
      <c r="A149" s="519" t="s">
        <v>49</v>
      </c>
      <c r="B149" s="520">
        <v>43</v>
      </c>
      <c r="C149" s="520" t="s">
        <v>27</v>
      </c>
      <c r="D149" s="521">
        <v>4222</v>
      </c>
      <c r="E149" s="522" t="s">
        <v>72</v>
      </c>
      <c r="F149" s="523" t="s">
        <v>686</v>
      </c>
      <c r="G149" s="497">
        <f t="shared" si="20"/>
        <v>248933</v>
      </c>
      <c r="H149" s="498">
        <f t="shared" si="20"/>
        <v>349443</v>
      </c>
      <c r="I149" s="499">
        <f t="shared" si="20"/>
        <v>349525</v>
      </c>
      <c r="J149" s="500">
        <v>10000</v>
      </c>
      <c r="K149" s="501">
        <v>10000</v>
      </c>
      <c r="L149" s="502">
        <v>10000</v>
      </c>
      <c r="M149" s="503"/>
      <c r="N149" s="501"/>
      <c r="O149" s="504"/>
      <c r="P149" s="500"/>
      <c r="Q149" s="501"/>
      <c r="R149" s="502"/>
      <c r="S149" s="503"/>
      <c r="T149" s="501"/>
      <c r="U149" s="504"/>
      <c r="V149" s="500"/>
      <c r="W149" s="501"/>
      <c r="X149" s="502"/>
      <c r="Y149" s="505">
        <f t="shared" si="21"/>
        <v>10000</v>
      </c>
      <c r="Z149" s="506">
        <f t="shared" si="21"/>
        <v>10000</v>
      </c>
      <c r="AA149" s="507">
        <f t="shared" si="21"/>
        <v>10000</v>
      </c>
      <c r="AB149" s="500">
        <v>50000</v>
      </c>
      <c r="AC149" s="501">
        <v>50000</v>
      </c>
      <c r="AD149" s="502">
        <v>50000</v>
      </c>
      <c r="AE149" s="503">
        <v>0</v>
      </c>
      <c r="AF149" s="501">
        <v>100000</v>
      </c>
      <c r="AG149" s="504">
        <v>100000</v>
      </c>
      <c r="AH149" s="500"/>
      <c r="AI149" s="501"/>
      <c r="AJ149" s="502"/>
      <c r="AK149" s="503">
        <v>71933</v>
      </c>
      <c r="AL149" s="501">
        <v>71933</v>
      </c>
      <c r="AM149" s="504">
        <v>71933</v>
      </c>
      <c r="AN149" s="500"/>
      <c r="AO149" s="501"/>
      <c r="AP149" s="502"/>
      <c r="AQ149" s="503"/>
      <c r="AR149" s="501"/>
      <c r="AS149" s="504"/>
      <c r="AT149" s="599">
        <v>15000</v>
      </c>
      <c r="AU149" s="600">
        <v>15300</v>
      </c>
      <c r="AV149" s="601">
        <v>15300</v>
      </c>
      <c r="AW149" s="503"/>
      <c r="AX149" s="501"/>
      <c r="AY149" s="504"/>
      <c r="AZ149" s="500"/>
      <c r="BA149" s="501"/>
      <c r="BB149" s="502"/>
      <c r="BC149" s="503">
        <v>10000</v>
      </c>
      <c r="BD149" s="501">
        <v>10210</v>
      </c>
      <c r="BE149" s="504">
        <v>10292</v>
      </c>
      <c r="BF149" s="500">
        <v>85000</v>
      </c>
      <c r="BG149" s="501">
        <v>85000</v>
      </c>
      <c r="BH149" s="502">
        <v>85000</v>
      </c>
      <c r="BI149" s="503">
        <v>7000</v>
      </c>
      <c r="BJ149" s="501">
        <v>7000</v>
      </c>
      <c r="BK149" s="504">
        <v>7000</v>
      </c>
      <c r="BL149" s="500"/>
      <c r="BM149" s="501"/>
      <c r="BN149" s="502"/>
      <c r="BO149" s="503"/>
      <c r="BP149" s="501"/>
      <c r="BQ149" s="504"/>
      <c r="BR149" s="513">
        <f t="shared" si="22"/>
        <v>248933</v>
      </c>
      <c r="BS149" s="514">
        <f t="shared" si="22"/>
        <v>349443</v>
      </c>
      <c r="BT149" s="515">
        <f t="shared" si="22"/>
        <v>349525</v>
      </c>
      <c r="BU149" s="516"/>
      <c r="BV149" s="517"/>
      <c r="BW149" s="518"/>
    </row>
    <row r="150" spans="1:75" ht="36">
      <c r="A150" s="519" t="s">
        <v>49</v>
      </c>
      <c r="B150" s="520">
        <v>43</v>
      </c>
      <c r="C150" s="520" t="s">
        <v>27</v>
      </c>
      <c r="D150" s="521">
        <v>4223</v>
      </c>
      <c r="E150" s="522" t="s">
        <v>90</v>
      </c>
      <c r="F150" s="523" t="s">
        <v>686</v>
      </c>
      <c r="G150" s="497">
        <f t="shared" si="20"/>
        <v>380300</v>
      </c>
      <c r="H150" s="498">
        <f t="shared" si="20"/>
        <v>225650</v>
      </c>
      <c r="I150" s="499">
        <f t="shared" si="20"/>
        <v>220650</v>
      </c>
      <c r="J150" s="500">
        <v>10000</v>
      </c>
      <c r="K150" s="501">
        <v>10000</v>
      </c>
      <c r="L150" s="502">
        <v>10000</v>
      </c>
      <c r="M150" s="503"/>
      <c r="N150" s="501"/>
      <c r="O150" s="504"/>
      <c r="P150" s="500"/>
      <c r="Q150" s="501"/>
      <c r="R150" s="502"/>
      <c r="S150" s="503"/>
      <c r="T150" s="501"/>
      <c r="U150" s="504"/>
      <c r="V150" s="500"/>
      <c r="W150" s="501"/>
      <c r="X150" s="502"/>
      <c r="Y150" s="505">
        <f t="shared" si="21"/>
        <v>10000</v>
      </c>
      <c r="Z150" s="506">
        <f t="shared" si="21"/>
        <v>10000</v>
      </c>
      <c r="AA150" s="507">
        <f t="shared" si="21"/>
        <v>10000</v>
      </c>
      <c r="AB150" s="500"/>
      <c r="AC150" s="501"/>
      <c r="AD150" s="502"/>
      <c r="AE150" s="503">
        <v>25000</v>
      </c>
      <c r="AF150" s="501">
        <v>25000</v>
      </c>
      <c r="AG150" s="504">
        <v>25000</v>
      </c>
      <c r="AH150" s="500"/>
      <c r="AI150" s="501"/>
      <c r="AJ150" s="502"/>
      <c r="AK150" s="503">
        <v>77800</v>
      </c>
      <c r="AL150" s="501">
        <v>77800</v>
      </c>
      <c r="AM150" s="504">
        <v>77800</v>
      </c>
      <c r="AN150" s="500"/>
      <c r="AO150" s="501"/>
      <c r="AP150" s="502"/>
      <c r="AQ150" s="503">
        <v>15000</v>
      </c>
      <c r="AR150" s="501">
        <v>15000</v>
      </c>
      <c r="AS150" s="504">
        <v>15000</v>
      </c>
      <c r="AT150" s="599">
        <v>17500</v>
      </c>
      <c r="AU150" s="600">
        <v>17850</v>
      </c>
      <c r="AV150" s="601">
        <v>17850</v>
      </c>
      <c r="AW150" s="503"/>
      <c r="AX150" s="501"/>
      <c r="AY150" s="504"/>
      <c r="AZ150" s="500"/>
      <c r="BA150" s="501"/>
      <c r="BB150" s="502"/>
      <c r="BC150" s="503"/>
      <c r="BD150" s="501"/>
      <c r="BE150" s="504"/>
      <c r="BF150" s="500">
        <v>40000</v>
      </c>
      <c r="BG150" s="501">
        <v>40000</v>
      </c>
      <c r="BH150" s="502">
        <v>40000</v>
      </c>
      <c r="BI150" s="503">
        <v>45000</v>
      </c>
      <c r="BJ150" s="501">
        <v>40000</v>
      </c>
      <c r="BK150" s="504">
        <v>35000</v>
      </c>
      <c r="BL150" s="500">
        <v>150000</v>
      </c>
      <c r="BM150" s="501">
        <v>0</v>
      </c>
      <c r="BN150" s="502">
        <v>0</v>
      </c>
      <c r="BO150" s="503"/>
      <c r="BP150" s="501"/>
      <c r="BQ150" s="504"/>
      <c r="BR150" s="513">
        <f t="shared" si="22"/>
        <v>380300</v>
      </c>
      <c r="BS150" s="514">
        <f t="shared" si="22"/>
        <v>225650</v>
      </c>
      <c r="BT150" s="515">
        <f t="shared" si="22"/>
        <v>220650</v>
      </c>
      <c r="BU150" s="516"/>
      <c r="BV150" s="517"/>
      <c r="BW150" s="518"/>
    </row>
    <row r="151" spans="1:75" ht="36">
      <c r="A151" s="519" t="s">
        <v>49</v>
      </c>
      <c r="B151" s="520">
        <v>43</v>
      </c>
      <c r="C151" s="520" t="s">
        <v>27</v>
      </c>
      <c r="D151" s="521">
        <v>4224</v>
      </c>
      <c r="E151" s="522" t="s">
        <v>73</v>
      </c>
      <c r="F151" s="523" t="s">
        <v>686</v>
      </c>
      <c r="G151" s="497">
        <f t="shared" si="20"/>
        <v>3615596</v>
      </c>
      <c r="H151" s="498">
        <f t="shared" si="20"/>
        <v>4056187</v>
      </c>
      <c r="I151" s="499">
        <f t="shared" si="20"/>
        <v>3864389</v>
      </c>
      <c r="J151" s="500">
        <v>150000</v>
      </c>
      <c r="K151" s="501">
        <v>150000</v>
      </c>
      <c r="L151" s="502">
        <v>100000</v>
      </c>
      <c r="M151" s="503">
        <v>20000</v>
      </c>
      <c r="N151" s="501">
        <v>20500</v>
      </c>
      <c r="O151" s="504">
        <v>20700</v>
      </c>
      <c r="P151" s="500">
        <v>10000</v>
      </c>
      <c r="Q151" s="501">
        <v>10000</v>
      </c>
      <c r="R151" s="502">
        <v>10000</v>
      </c>
      <c r="S151" s="503"/>
      <c r="T151" s="501"/>
      <c r="U151" s="504"/>
      <c r="V151" s="500"/>
      <c r="W151" s="501"/>
      <c r="X151" s="502"/>
      <c r="Y151" s="505">
        <f t="shared" si="21"/>
        <v>180000</v>
      </c>
      <c r="Z151" s="506">
        <f t="shared" si="21"/>
        <v>180500</v>
      </c>
      <c r="AA151" s="507">
        <f t="shared" si="21"/>
        <v>130700</v>
      </c>
      <c r="AB151" s="500"/>
      <c r="AC151" s="501"/>
      <c r="AD151" s="502"/>
      <c r="AE151" s="503"/>
      <c r="AF151" s="501"/>
      <c r="AG151" s="504"/>
      <c r="AH151" s="500">
        <f>215000-200000</f>
        <v>15000</v>
      </c>
      <c r="AI151" s="501">
        <v>140000</v>
      </c>
      <c r="AJ151" s="502">
        <v>100000</v>
      </c>
      <c r="AK151" s="503">
        <f>2706185-56663</f>
        <v>2649522</v>
      </c>
      <c r="AL151" s="501">
        <v>2435687</v>
      </c>
      <c r="AM151" s="504">
        <v>2333689</v>
      </c>
      <c r="AN151" s="500">
        <f>800000-800000</f>
        <v>0</v>
      </c>
      <c r="AO151" s="501">
        <f>800000-800000</f>
        <v>0</v>
      </c>
      <c r="AP151" s="502">
        <f>800000-800000</f>
        <v>0</v>
      </c>
      <c r="AQ151" s="503"/>
      <c r="AR151" s="501"/>
      <c r="AS151" s="504"/>
      <c r="AT151" s="500"/>
      <c r="AU151" s="501"/>
      <c r="AV151" s="502"/>
      <c r="AW151" s="503">
        <f>150000-100000</f>
        <v>50000</v>
      </c>
      <c r="AX151" s="501">
        <v>150000</v>
      </c>
      <c r="AY151" s="504">
        <v>150000</v>
      </c>
      <c r="AZ151" s="500"/>
      <c r="BA151" s="501"/>
      <c r="BB151" s="502"/>
      <c r="BC151" s="503"/>
      <c r="BD151" s="501"/>
      <c r="BE151" s="504"/>
      <c r="BF151" s="500">
        <f>1085000-602711</f>
        <v>482289</v>
      </c>
      <c r="BG151" s="501">
        <v>1150000</v>
      </c>
      <c r="BH151" s="502">
        <v>1150000</v>
      </c>
      <c r="BI151" s="503"/>
      <c r="BJ151" s="501"/>
      <c r="BK151" s="504"/>
      <c r="BL151" s="500">
        <v>238785</v>
      </c>
      <c r="BM151" s="501">
        <v>0</v>
      </c>
      <c r="BN151" s="502">
        <v>0</v>
      </c>
      <c r="BO151" s="503"/>
      <c r="BP151" s="501"/>
      <c r="BQ151" s="504"/>
      <c r="BR151" s="513">
        <f t="shared" si="22"/>
        <v>3615596</v>
      </c>
      <c r="BS151" s="514">
        <f t="shared" si="22"/>
        <v>4056187</v>
      </c>
      <c r="BT151" s="515">
        <f t="shared" si="22"/>
        <v>3864389</v>
      </c>
      <c r="BU151" s="516"/>
      <c r="BV151" s="517"/>
      <c r="BW151" s="518"/>
    </row>
    <row r="152" spans="1:75" ht="36">
      <c r="A152" s="519" t="s">
        <v>49</v>
      </c>
      <c r="B152" s="520">
        <v>43</v>
      </c>
      <c r="C152" s="520" t="s">
        <v>27</v>
      </c>
      <c r="D152" s="521">
        <v>4225</v>
      </c>
      <c r="E152" s="522" t="s">
        <v>85</v>
      </c>
      <c r="F152" s="523" t="s">
        <v>686</v>
      </c>
      <c r="G152" s="497">
        <f t="shared" si="20"/>
        <v>517643</v>
      </c>
      <c r="H152" s="498">
        <f t="shared" si="20"/>
        <v>369779</v>
      </c>
      <c r="I152" s="499">
        <f t="shared" si="20"/>
        <v>371779</v>
      </c>
      <c r="J152" s="500">
        <v>50000</v>
      </c>
      <c r="K152" s="501">
        <v>50000</v>
      </c>
      <c r="L152" s="502">
        <v>50000</v>
      </c>
      <c r="M152" s="503"/>
      <c r="N152" s="501"/>
      <c r="O152" s="504"/>
      <c r="P152" s="500">
        <v>5000</v>
      </c>
      <c r="Q152" s="501">
        <v>5000</v>
      </c>
      <c r="R152" s="502">
        <v>5000</v>
      </c>
      <c r="S152" s="503"/>
      <c r="T152" s="501"/>
      <c r="U152" s="504"/>
      <c r="V152" s="500"/>
      <c r="W152" s="501"/>
      <c r="X152" s="502"/>
      <c r="Y152" s="505">
        <f t="shared" si="21"/>
        <v>55000</v>
      </c>
      <c r="Z152" s="506">
        <f t="shared" si="21"/>
        <v>55000</v>
      </c>
      <c r="AA152" s="507">
        <f t="shared" si="21"/>
        <v>55000</v>
      </c>
      <c r="AB152" s="500"/>
      <c r="AC152" s="501"/>
      <c r="AD152" s="502"/>
      <c r="AE152" s="503"/>
      <c r="AF152" s="501"/>
      <c r="AG152" s="504"/>
      <c r="AH152" s="500"/>
      <c r="AI152" s="501"/>
      <c r="AJ152" s="502"/>
      <c r="AK152" s="503">
        <v>250301</v>
      </c>
      <c r="AL152" s="501">
        <v>250301</v>
      </c>
      <c r="AM152" s="504">
        <v>250301</v>
      </c>
      <c r="AN152" s="500"/>
      <c r="AO152" s="501"/>
      <c r="AP152" s="502"/>
      <c r="AQ152" s="503"/>
      <c r="AR152" s="501"/>
      <c r="AS152" s="504"/>
      <c r="AT152" s="599">
        <v>3900</v>
      </c>
      <c r="AU152" s="600">
        <v>3978</v>
      </c>
      <c r="AV152" s="601">
        <v>3978</v>
      </c>
      <c r="AW152" s="503">
        <v>50000</v>
      </c>
      <c r="AX152" s="501">
        <v>50000</v>
      </c>
      <c r="AY152" s="504">
        <v>50000</v>
      </c>
      <c r="AZ152" s="500"/>
      <c r="BA152" s="501"/>
      <c r="BB152" s="502"/>
      <c r="BC152" s="503"/>
      <c r="BD152" s="501"/>
      <c r="BE152" s="504"/>
      <c r="BF152" s="500">
        <v>5500</v>
      </c>
      <c r="BG152" s="501">
        <v>5500</v>
      </c>
      <c r="BH152" s="502">
        <v>5500</v>
      </c>
      <c r="BI152" s="503">
        <v>5000</v>
      </c>
      <c r="BJ152" s="501">
        <v>5000</v>
      </c>
      <c r="BK152" s="504">
        <v>7000</v>
      </c>
      <c r="BL152" s="500">
        <v>147942</v>
      </c>
      <c r="BM152" s="501">
        <v>0</v>
      </c>
      <c r="BN152" s="502">
        <v>0</v>
      </c>
      <c r="BO152" s="503"/>
      <c r="BP152" s="501"/>
      <c r="BQ152" s="504"/>
      <c r="BR152" s="513">
        <f t="shared" si="22"/>
        <v>517643</v>
      </c>
      <c r="BS152" s="514">
        <f t="shared" si="22"/>
        <v>369779</v>
      </c>
      <c r="BT152" s="515">
        <f t="shared" si="22"/>
        <v>371779</v>
      </c>
      <c r="BU152" s="516"/>
      <c r="BV152" s="517"/>
      <c r="BW152" s="518"/>
    </row>
    <row r="153" spans="1:75" ht="36">
      <c r="A153" s="519" t="s">
        <v>49</v>
      </c>
      <c r="B153" s="520">
        <v>43</v>
      </c>
      <c r="C153" s="520" t="s">
        <v>27</v>
      </c>
      <c r="D153" s="521">
        <v>4226</v>
      </c>
      <c r="E153" s="522" t="s">
        <v>716</v>
      </c>
      <c r="F153" s="523" t="s">
        <v>686</v>
      </c>
      <c r="G153" s="497">
        <f t="shared" si="20"/>
        <v>199700</v>
      </c>
      <c r="H153" s="498">
        <f t="shared" si="20"/>
        <v>199805</v>
      </c>
      <c r="I153" s="499">
        <f t="shared" si="20"/>
        <v>192346</v>
      </c>
      <c r="J153" s="500">
        <v>7500</v>
      </c>
      <c r="K153" s="501">
        <v>7500</v>
      </c>
      <c r="L153" s="502">
        <v>0</v>
      </c>
      <c r="M153" s="503"/>
      <c r="N153" s="501"/>
      <c r="O153" s="504"/>
      <c r="P153" s="500"/>
      <c r="Q153" s="501"/>
      <c r="R153" s="502"/>
      <c r="S153" s="503"/>
      <c r="T153" s="501"/>
      <c r="U153" s="504"/>
      <c r="V153" s="500"/>
      <c r="W153" s="501"/>
      <c r="X153" s="502"/>
      <c r="Y153" s="505">
        <f t="shared" si="21"/>
        <v>7500</v>
      </c>
      <c r="Z153" s="506">
        <f t="shared" si="21"/>
        <v>7500</v>
      </c>
      <c r="AA153" s="507">
        <f t="shared" si="21"/>
        <v>0</v>
      </c>
      <c r="AB153" s="500">
        <v>150000</v>
      </c>
      <c r="AC153" s="501">
        <v>150000</v>
      </c>
      <c r="AD153" s="502">
        <v>150000</v>
      </c>
      <c r="AE153" s="503"/>
      <c r="AF153" s="501"/>
      <c r="AG153" s="504"/>
      <c r="AH153" s="500"/>
      <c r="AI153" s="501"/>
      <c r="AJ153" s="502"/>
      <c r="AK153" s="503">
        <v>37200</v>
      </c>
      <c r="AL153" s="501">
        <v>37200</v>
      </c>
      <c r="AM153" s="504">
        <v>37200</v>
      </c>
      <c r="AN153" s="500"/>
      <c r="AO153" s="501"/>
      <c r="AP153" s="502"/>
      <c r="AQ153" s="503"/>
      <c r="AR153" s="501"/>
      <c r="AS153" s="504"/>
      <c r="AT153" s="500"/>
      <c r="AU153" s="501"/>
      <c r="AV153" s="502"/>
      <c r="AW153" s="503"/>
      <c r="AX153" s="501"/>
      <c r="AY153" s="504"/>
      <c r="AZ153" s="500"/>
      <c r="BA153" s="501"/>
      <c r="BB153" s="502"/>
      <c r="BC153" s="503">
        <v>5000</v>
      </c>
      <c r="BD153" s="501">
        <v>5105</v>
      </c>
      <c r="BE153" s="504">
        <v>5146</v>
      </c>
      <c r="BF153" s="500"/>
      <c r="BG153" s="501"/>
      <c r="BH153" s="502"/>
      <c r="BI153" s="503"/>
      <c r="BJ153" s="501"/>
      <c r="BK153" s="504"/>
      <c r="BL153" s="500"/>
      <c r="BM153" s="501"/>
      <c r="BN153" s="502"/>
      <c r="BO153" s="503"/>
      <c r="BP153" s="501"/>
      <c r="BQ153" s="504"/>
      <c r="BR153" s="513">
        <f t="shared" si="22"/>
        <v>199700</v>
      </c>
      <c r="BS153" s="514">
        <f t="shared" si="22"/>
        <v>199805</v>
      </c>
      <c r="BT153" s="515">
        <f t="shared" si="22"/>
        <v>192346</v>
      </c>
      <c r="BU153" s="516"/>
      <c r="BV153" s="517"/>
      <c r="BW153" s="518"/>
    </row>
    <row r="154" spans="1:75" ht="36">
      <c r="A154" s="519" t="s">
        <v>49</v>
      </c>
      <c r="B154" s="520">
        <v>43</v>
      </c>
      <c r="C154" s="520" t="s">
        <v>27</v>
      </c>
      <c r="D154" s="521">
        <v>4227</v>
      </c>
      <c r="E154" s="522" t="s">
        <v>93</v>
      </c>
      <c r="F154" s="523" t="s">
        <v>686</v>
      </c>
      <c r="G154" s="497">
        <f t="shared" si="20"/>
        <v>272000</v>
      </c>
      <c r="H154" s="498">
        <f t="shared" si="20"/>
        <v>122000</v>
      </c>
      <c r="I154" s="499">
        <f t="shared" si="20"/>
        <v>122000</v>
      </c>
      <c r="J154" s="500">
        <v>10000</v>
      </c>
      <c r="K154" s="501">
        <v>10000</v>
      </c>
      <c r="L154" s="502">
        <v>10000</v>
      </c>
      <c r="M154" s="503"/>
      <c r="N154" s="501"/>
      <c r="O154" s="504"/>
      <c r="P154" s="500"/>
      <c r="Q154" s="501"/>
      <c r="R154" s="502"/>
      <c r="S154" s="503"/>
      <c r="T154" s="501"/>
      <c r="U154" s="504"/>
      <c r="V154" s="500"/>
      <c r="W154" s="501"/>
      <c r="X154" s="502"/>
      <c r="Y154" s="505">
        <f t="shared" si="21"/>
        <v>10000</v>
      </c>
      <c r="Z154" s="506">
        <f t="shared" si="21"/>
        <v>10000</v>
      </c>
      <c r="AA154" s="507">
        <f t="shared" si="21"/>
        <v>10000</v>
      </c>
      <c r="AB154" s="500">
        <v>20000</v>
      </c>
      <c r="AC154" s="501">
        <v>20000</v>
      </c>
      <c r="AD154" s="502">
        <v>20000</v>
      </c>
      <c r="AE154" s="503"/>
      <c r="AF154" s="501"/>
      <c r="AG154" s="504"/>
      <c r="AH154" s="500"/>
      <c r="AI154" s="501"/>
      <c r="AJ154" s="502"/>
      <c r="AK154" s="503"/>
      <c r="AL154" s="501"/>
      <c r="AM154" s="504"/>
      <c r="AN154" s="500"/>
      <c r="AO154" s="501"/>
      <c r="AP154" s="502"/>
      <c r="AQ154" s="503"/>
      <c r="AR154" s="501"/>
      <c r="AS154" s="504"/>
      <c r="AT154" s="500"/>
      <c r="AU154" s="501"/>
      <c r="AV154" s="502"/>
      <c r="AW154" s="503">
        <v>90000</v>
      </c>
      <c r="AX154" s="501">
        <v>90000</v>
      </c>
      <c r="AY154" s="504">
        <v>90000</v>
      </c>
      <c r="AZ154" s="500"/>
      <c r="BA154" s="501"/>
      <c r="BB154" s="502"/>
      <c r="BC154" s="503"/>
      <c r="BD154" s="501"/>
      <c r="BE154" s="504"/>
      <c r="BF154" s="500">
        <v>2000</v>
      </c>
      <c r="BG154" s="501">
        <v>2000</v>
      </c>
      <c r="BH154" s="502">
        <v>2000</v>
      </c>
      <c r="BI154" s="503"/>
      <c r="BJ154" s="501"/>
      <c r="BK154" s="504"/>
      <c r="BL154" s="500">
        <v>150000</v>
      </c>
      <c r="BM154" s="501">
        <v>0</v>
      </c>
      <c r="BN154" s="502">
        <v>0</v>
      </c>
      <c r="BO154" s="503"/>
      <c r="BP154" s="501"/>
      <c r="BQ154" s="504"/>
      <c r="BR154" s="513">
        <f t="shared" si="22"/>
        <v>272000</v>
      </c>
      <c r="BS154" s="514">
        <f t="shared" si="22"/>
        <v>122000</v>
      </c>
      <c r="BT154" s="515">
        <f t="shared" si="22"/>
        <v>122000</v>
      </c>
      <c r="BU154" s="516"/>
      <c r="BV154" s="517"/>
      <c r="BW154" s="518"/>
    </row>
    <row r="155" spans="1:75" ht="36">
      <c r="A155" s="519" t="s">
        <v>49</v>
      </c>
      <c r="B155" s="520">
        <v>43</v>
      </c>
      <c r="C155" s="520" t="s">
        <v>27</v>
      </c>
      <c r="D155" s="521">
        <v>4241</v>
      </c>
      <c r="E155" s="522" t="s">
        <v>74</v>
      </c>
      <c r="F155" s="523" t="s">
        <v>686</v>
      </c>
      <c r="G155" s="497">
        <f t="shared" si="20"/>
        <v>529674</v>
      </c>
      <c r="H155" s="498">
        <f t="shared" si="20"/>
        <v>498996</v>
      </c>
      <c r="I155" s="499">
        <f t="shared" si="20"/>
        <v>483312</v>
      </c>
      <c r="J155" s="500"/>
      <c r="K155" s="501"/>
      <c r="L155" s="502"/>
      <c r="M155" s="503">
        <v>1000</v>
      </c>
      <c r="N155" s="501">
        <v>1000</v>
      </c>
      <c r="O155" s="504">
        <v>1000</v>
      </c>
      <c r="P155" s="500">
        <v>4000</v>
      </c>
      <c r="Q155" s="501">
        <v>4000</v>
      </c>
      <c r="R155" s="502">
        <v>4000</v>
      </c>
      <c r="S155" s="503"/>
      <c r="T155" s="501"/>
      <c r="U155" s="504"/>
      <c r="V155" s="500">
        <v>3800</v>
      </c>
      <c r="W155" s="501">
        <v>3900</v>
      </c>
      <c r="X155" s="502">
        <v>3900</v>
      </c>
      <c r="Y155" s="505">
        <f t="shared" si="21"/>
        <v>8800</v>
      </c>
      <c r="Z155" s="506">
        <f t="shared" si="21"/>
        <v>8900</v>
      </c>
      <c r="AA155" s="507">
        <f t="shared" si="21"/>
        <v>8900</v>
      </c>
      <c r="AB155" s="500">
        <v>10000</v>
      </c>
      <c r="AC155" s="501">
        <v>10000</v>
      </c>
      <c r="AD155" s="502">
        <v>10000</v>
      </c>
      <c r="AE155" s="503"/>
      <c r="AF155" s="501"/>
      <c r="AG155" s="504"/>
      <c r="AH155" s="500"/>
      <c r="AI155" s="501"/>
      <c r="AJ155" s="502"/>
      <c r="AK155" s="503">
        <v>55574</v>
      </c>
      <c r="AL155" s="501">
        <v>55574</v>
      </c>
      <c r="AM155" s="504">
        <v>55574</v>
      </c>
      <c r="AN155" s="500"/>
      <c r="AO155" s="501"/>
      <c r="AP155" s="502"/>
      <c r="AQ155" s="503">
        <v>35000</v>
      </c>
      <c r="AR155" s="501">
        <v>35000</v>
      </c>
      <c r="AS155" s="504">
        <v>35000</v>
      </c>
      <c r="AT155" s="599">
        <v>39000</v>
      </c>
      <c r="AU155" s="600">
        <v>39780</v>
      </c>
      <c r="AV155" s="601">
        <v>39780</v>
      </c>
      <c r="AW155" s="503">
        <v>40000</v>
      </c>
      <c r="AX155" s="501">
        <v>40000</v>
      </c>
      <c r="AY155" s="504">
        <v>40000</v>
      </c>
      <c r="AZ155" s="500">
        <v>15000</v>
      </c>
      <c r="BA155" s="501">
        <v>14000</v>
      </c>
      <c r="BB155" s="502">
        <v>14000</v>
      </c>
      <c r="BC155" s="503">
        <v>2000</v>
      </c>
      <c r="BD155" s="501">
        <v>2042</v>
      </c>
      <c r="BE155" s="504">
        <v>2058</v>
      </c>
      <c r="BF155" s="500">
        <v>122000</v>
      </c>
      <c r="BG155" s="501">
        <v>122000</v>
      </c>
      <c r="BH155" s="502">
        <v>122000</v>
      </c>
      <c r="BI155" s="503">
        <v>65000</v>
      </c>
      <c r="BJ155" s="501">
        <v>29000</v>
      </c>
      <c r="BK155" s="504">
        <v>11000</v>
      </c>
      <c r="BL155" s="500"/>
      <c r="BM155" s="501"/>
      <c r="BN155" s="502"/>
      <c r="BO155" s="503">
        <f>177000-39700</f>
        <v>137300</v>
      </c>
      <c r="BP155" s="501">
        <v>142700</v>
      </c>
      <c r="BQ155" s="504">
        <v>145000</v>
      </c>
      <c r="BR155" s="513">
        <f t="shared" si="22"/>
        <v>529674</v>
      </c>
      <c r="BS155" s="514">
        <f t="shared" si="22"/>
        <v>498996</v>
      </c>
      <c r="BT155" s="515">
        <f t="shared" si="22"/>
        <v>483312</v>
      </c>
      <c r="BU155" s="516"/>
      <c r="BV155" s="517"/>
      <c r="BW155" s="518"/>
    </row>
    <row r="156" spans="1:75" ht="36">
      <c r="A156" s="519" t="s">
        <v>49</v>
      </c>
      <c r="B156" s="520">
        <v>43</v>
      </c>
      <c r="C156" s="520" t="s">
        <v>27</v>
      </c>
      <c r="D156" s="521">
        <v>4262</v>
      </c>
      <c r="E156" s="522" t="s">
        <v>86</v>
      </c>
      <c r="F156" s="523" t="s">
        <v>686</v>
      </c>
      <c r="G156" s="497">
        <f t="shared" si="20"/>
        <v>260125</v>
      </c>
      <c r="H156" s="498">
        <f t="shared" si="20"/>
        <v>215125</v>
      </c>
      <c r="I156" s="499">
        <f t="shared" si="20"/>
        <v>205125</v>
      </c>
      <c r="J156" s="500">
        <v>60000</v>
      </c>
      <c r="K156" s="501">
        <v>60000</v>
      </c>
      <c r="L156" s="502">
        <v>50000</v>
      </c>
      <c r="M156" s="503"/>
      <c r="N156" s="501"/>
      <c r="O156" s="504"/>
      <c r="P156" s="500"/>
      <c r="Q156" s="501"/>
      <c r="R156" s="502"/>
      <c r="S156" s="503"/>
      <c r="T156" s="501"/>
      <c r="U156" s="504"/>
      <c r="V156" s="500"/>
      <c r="W156" s="501"/>
      <c r="X156" s="502"/>
      <c r="Y156" s="505">
        <f t="shared" si="21"/>
        <v>60000</v>
      </c>
      <c r="Z156" s="506">
        <f t="shared" si="21"/>
        <v>60000</v>
      </c>
      <c r="AA156" s="507">
        <f t="shared" si="21"/>
        <v>50000</v>
      </c>
      <c r="AB156" s="500"/>
      <c r="AC156" s="501"/>
      <c r="AD156" s="502"/>
      <c r="AE156" s="503">
        <v>40000</v>
      </c>
      <c r="AF156" s="501"/>
      <c r="AG156" s="504"/>
      <c r="AH156" s="500"/>
      <c r="AI156" s="501"/>
      <c r="AJ156" s="502"/>
      <c r="AK156" s="503">
        <v>150125</v>
      </c>
      <c r="AL156" s="501">
        <v>150125</v>
      </c>
      <c r="AM156" s="504">
        <v>150125</v>
      </c>
      <c r="AN156" s="500"/>
      <c r="AO156" s="501"/>
      <c r="AP156" s="502"/>
      <c r="AQ156" s="503"/>
      <c r="AR156" s="501"/>
      <c r="AS156" s="504"/>
      <c r="AT156" s="500"/>
      <c r="AU156" s="501"/>
      <c r="AV156" s="502"/>
      <c r="AW156" s="503"/>
      <c r="AX156" s="501"/>
      <c r="AY156" s="504"/>
      <c r="AZ156" s="500"/>
      <c r="BA156" s="501"/>
      <c r="BB156" s="502"/>
      <c r="BC156" s="503"/>
      <c r="BD156" s="501"/>
      <c r="BE156" s="504"/>
      <c r="BF156" s="500"/>
      <c r="BG156" s="501"/>
      <c r="BH156" s="502"/>
      <c r="BI156" s="503">
        <v>10000</v>
      </c>
      <c r="BJ156" s="501">
        <v>5000</v>
      </c>
      <c r="BK156" s="504">
        <v>5000</v>
      </c>
      <c r="BL156" s="500"/>
      <c r="BM156" s="501"/>
      <c r="BN156" s="502"/>
      <c r="BO156" s="503"/>
      <c r="BP156" s="501"/>
      <c r="BQ156" s="504"/>
      <c r="BR156" s="513">
        <f t="shared" si="22"/>
        <v>260125</v>
      </c>
      <c r="BS156" s="514">
        <f t="shared" si="22"/>
        <v>215125</v>
      </c>
      <c r="BT156" s="515">
        <f t="shared" si="22"/>
        <v>205125</v>
      </c>
      <c r="BU156" s="516"/>
      <c r="BV156" s="517"/>
      <c r="BW156" s="518"/>
    </row>
    <row r="157" spans="1:75" ht="36">
      <c r="A157" s="519" t="s">
        <v>49</v>
      </c>
      <c r="B157" s="520">
        <v>43</v>
      </c>
      <c r="C157" s="520" t="s">
        <v>27</v>
      </c>
      <c r="D157" s="526">
        <v>4511</v>
      </c>
      <c r="E157" s="527" t="s">
        <v>91</v>
      </c>
      <c r="F157" s="523" t="s">
        <v>686</v>
      </c>
      <c r="G157" s="497">
        <f t="shared" si="20"/>
        <v>754296</v>
      </c>
      <c r="H157" s="498">
        <f t="shared" si="20"/>
        <v>6935549</v>
      </c>
      <c r="I157" s="499">
        <f t="shared" si="20"/>
        <v>5097922</v>
      </c>
      <c r="J157" s="500">
        <f>2000000-1732615</f>
        <v>267385</v>
      </c>
      <c r="K157" s="501">
        <f>2000000+435217</f>
        <v>2435217</v>
      </c>
      <c r="L157" s="502">
        <v>348340</v>
      </c>
      <c r="M157" s="503"/>
      <c r="N157" s="501"/>
      <c r="O157" s="504"/>
      <c r="P157" s="500"/>
      <c r="Q157" s="501"/>
      <c r="R157" s="502"/>
      <c r="S157" s="503"/>
      <c r="T157" s="501"/>
      <c r="U157" s="504"/>
      <c r="V157" s="500"/>
      <c r="W157" s="501"/>
      <c r="X157" s="502"/>
      <c r="Y157" s="505">
        <f t="shared" si="21"/>
        <v>267385</v>
      </c>
      <c r="Z157" s="506">
        <f t="shared" si="21"/>
        <v>2435217</v>
      </c>
      <c r="AA157" s="507">
        <f t="shared" si="21"/>
        <v>348340</v>
      </c>
      <c r="AB157" s="500"/>
      <c r="AC157" s="501"/>
      <c r="AD157" s="502"/>
      <c r="AE157" s="503"/>
      <c r="AF157" s="501"/>
      <c r="AG157" s="504"/>
      <c r="AH157" s="500"/>
      <c r="AI157" s="501"/>
      <c r="AJ157" s="502"/>
      <c r="AK157" s="503">
        <v>0</v>
      </c>
      <c r="AL157" s="501">
        <v>1895832</v>
      </c>
      <c r="AM157" s="504">
        <v>1895832</v>
      </c>
      <c r="AN157" s="500"/>
      <c r="AO157" s="501"/>
      <c r="AP157" s="502"/>
      <c r="AQ157" s="503"/>
      <c r="AR157" s="501"/>
      <c r="AS157" s="504"/>
      <c r="AT157" s="500"/>
      <c r="AU157" s="501"/>
      <c r="AV157" s="502"/>
      <c r="AW157" s="503"/>
      <c r="AX157" s="501"/>
      <c r="AY157" s="504"/>
      <c r="AZ157" s="500"/>
      <c r="BA157" s="501"/>
      <c r="BB157" s="502"/>
      <c r="BC157" s="503"/>
      <c r="BD157" s="501"/>
      <c r="BE157" s="504"/>
      <c r="BF157" s="500">
        <f>700000-700000</f>
        <v>0</v>
      </c>
      <c r="BG157" s="501">
        <f>700000-450000</f>
        <v>250000</v>
      </c>
      <c r="BH157" s="502">
        <f>946750-447500</f>
        <v>499250</v>
      </c>
      <c r="BI157" s="503">
        <f>550000-63089</f>
        <v>486911</v>
      </c>
      <c r="BJ157" s="501">
        <f>2500000-145500</f>
        <v>2354500</v>
      </c>
      <c r="BK157" s="504">
        <f>2500000-145500</f>
        <v>2354500</v>
      </c>
      <c r="BL157" s="500"/>
      <c r="BM157" s="501"/>
      <c r="BN157" s="502"/>
      <c r="BO157" s="503"/>
      <c r="BP157" s="501"/>
      <c r="BQ157" s="504"/>
      <c r="BR157" s="513">
        <f t="shared" si="22"/>
        <v>754296</v>
      </c>
      <c r="BS157" s="514">
        <f t="shared" si="22"/>
        <v>6935549</v>
      </c>
      <c r="BT157" s="515">
        <f t="shared" si="22"/>
        <v>5097922</v>
      </c>
      <c r="BU157" s="516"/>
      <c r="BV157" s="517"/>
      <c r="BW157" s="518"/>
    </row>
    <row r="158" spans="1:75" ht="36.75" thickBot="1">
      <c r="A158" s="524" t="s">
        <v>49</v>
      </c>
      <c r="B158" s="525">
        <v>43</v>
      </c>
      <c r="C158" s="525" t="s">
        <v>27</v>
      </c>
      <c r="D158" s="526">
        <v>5181</v>
      </c>
      <c r="E158" s="527" t="s">
        <v>810</v>
      </c>
      <c r="F158" s="528" t="s">
        <v>686</v>
      </c>
      <c r="G158" s="529">
        <f t="shared" si="20"/>
        <v>11705506</v>
      </c>
      <c r="H158" s="530">
        <f t="shared" si="20"/>
        <v>9960000</v>
      </c>
      <c r="I158" s="531">
        <f t="shared" si="20"/>
        <v>0</v>
      </c>
      <c r="J158" s="532"/>
      <c r="K158" s="533"/>
      <c r="L158" s="534"/>
      <c r="M158" s="535"/>
      <c r="N158" s="533"/>
      <c r="O158" s="536"/>
      <c r="P158" s="532"/>
      <c r="Q158" s="533"/>
      <c r="R158" s="534"/>
      <c r="S158" s="535"/>
      <c r="T158" s="533"/>
      <c r="U158" s="536"/>
      <c r="V158" s="532"/>
      <c r="W158" s="533"/>
      <c r="X158" s="534"/>
      <c r="Y158" s="537">
        <f t="shared" si="21"/>
        <v>0</v>
      </c>
      <c r="Z158" s="538">
        <f t="shared" si="21"/>
        <v>0</v>
      </c>
      <c r="AA158" s="539">
        <f t="shared" si="21"/>
        <v>0</v>
      </c>
      <c r="AB158" s="532"/>
      <c r="AC158" s="533"/>
      <c r="AD158" s="534"/>
      <c r="AE158" s="535">
        <v>11705506</v>
      </c>
      <c r="AF158" s="533">
        <v>9960000</v>
      </c>
      <c r="AG158" s="536"/>
      <c r="AH158" s="532"/>
      <c r="AI158" s="533"/>
      <c r="AJ158" s="534"/>
      <c r="AK158" s="535"/>
      <c r="AL158" s="533"/>
      <c r="AM158" s="536"/>
      <c r="AN158" s="532"/>
      <c r="AO158" s="533"/>
      <c r="AP158" s="534"/>
      <c r="AQ158" s="535"/>
      <c r="AR158" s="533"/>
      <c r="AS158" s="536"/>
      <c r="AT158" s="532"/>
      <c r="AU158" s="533"/>
      <c r="AV158" s="534"/>
      <c r="AW158" s="535"/>
      <c r="AX158" s="533"/>
      <c r="AY158" s="536"/>
      <c r="AZ158" s="532"/>
      <c r="BA158" s="533"/>
      <c r="BB158" s="534"/>
      <c r="BC158" s="535"/>
      <c r="BD158" s="533"/>
      <c r="BE158" s="536"/>
      <c r="BF158" s="532"/>
      <c r="BG158" s="533"/>
      <c r="BH158" s="534"/>
      <c r="BI158" s="535"/>
      <c r="BJ158" s="533"/>
      <c r="BK158" s="536"/>
      <c r="BL158" s="532"/>
      <c r="BM158" s="533"/>
      <c r="BN158" s="534"/>
      <c r="BO158" s="535"/>
      <c r="BP158" s="533"/>
      <c r="BQ158" s="536"/>
      <c r="BR158" s="546">
        <f t="shared" si="22"/>
        <v>11705506</v>
      </c>
      <c r="BS158" s="547">
        <f t="shared" si="22"/>
        <v>9960000</v>
      </c>
      <c r="BT158" s="548">
        <f t="shared" si="22"/>
        <v>0</v>
      </c>
      <c r="BU158" s="549"/>
      <c r="BV158" s="550"/>
      <c r="BW158" s="551"/>
    </row>
    <row r="159" spans="1:75" s="598" customFormat="1" ht="36.75" thickBot="1">
      <c r="A159" s="588" t="s">
        <v>49</v>
      </c>
      <c r="B159" s="589">
        <v>43</v>
      </c>
      <c r="C159" s="589" t="s">
        <v>27</v>
      </c>
      <c r="D159" s="590"/>
      <c r="E159" s="591" t="s">
        <v>734</v>
      </c>
      <c r="F159" s="592" t="s">
        <v>686</v>
      </c>
      <c r="G159" s="593">
        <f t="shared" ref="G159:AL159" si="23">SUM(G109:G158)</f>
        <v>106449577</v>
      </c>
      <c r="H159" s="594">
        <f t="shared" si="23"/>
        <v>109547719</v>
      </c>
      <c r="I159" s="595">
        <f t="shared" si="23"/>
        <v>98472287</v>
      </c>
      <c r="J159" s="596">
        <f t="shared" si="23"/>
        <v>9116112</v>
      </c>
      <c r="K159" s="594">
        <f t="shared" si="23"/>
        <v>7999446</v>
      </c>
      <c r="L159" s="597">
        <f t="shared" si="23"/>
        <v>6076130</v>
      </c>
      <c r="M159" s="593">
        <f t="shared" si="23"/>
        <v>1077700</v>
      </c>
      <c r="N159" s="594">
        <f t="shared" si="23"/>
        <v>1002010</v>
      </c>
      <c r="O159" s="595">
        <f t="shared" si="23"/>
        <v>1012250</v>
      </c>
      <c r="P159" s="596">
        <f t="shared" si="23"/>
        <v>150000</v>
      </c>
      <c r="Q159" s="594">
        <f t="shared" si="23"/>
        <v>150000</v>
      </c>
      <c r="R159" s="597">
        <f t="shared" si="23"/>
        <v>150000</v>
      </c>
      <c r="S159" s="593">
        <f t="shared" si="23"/>
        <v>465200</v>
      </c>
      <c r="T159" s="594">
        <f t="shared" si="23"/>
        <v>363726</v>
      </c>
      <c r="U159" s="595">
        <f t="shared" si="23"/>
        <v>359021</v>
      </c>
      <c r="V159" s="596">
        <f t="shared" si="23"/>
        <v>1284045</v>
      </c>
      <c r="W159" s="594">
        <f t="shared" si="23"/>
        <v>1480495</v>
      </c>
      <c r="X159" s="597">
        <f t="shared" si="23"/>
        <v>1487425</v>
      </c>
      <c r="Y159" s="593">
        <f t="shared" si="23"/>
        <v>12093057</v>
      </c>
      <c r="Z159" s="594">
        <f t="shared" si="23"/>
        <v>10995677</v>
      </c>
      <c r="AA159" s="595">
        <f t="shared" si="23"/>
        <v>9084826</v>
      </c>
      <c r="AB159" s="596">
        <f t="shared" si="23"/>
        <v>1672505</v>
      </c>
      <c r="AC159" s="594">
        <f t="shared" si="23"/>
        <v>1904300</v>
      </c>
      <c r="AD159" s="597">
        <f t="shared" si="23"/>
        <v>1904300</v>
      </c>
      <c r="AE159" s="593">
        <f t="shared" si="23"/>
        <v>22726326</v>
      </c>
      <c r="AF159" s="594">
        <f t="shared" si="23"/>
        <v>23804800</v>
      </c>
      <c r="AG159" s="595">
        <f t="shared" si="23"/>
        <v>13112800</v>
      </c>
      <c r="AH159" s="596">
        <f t="shared" si="23"/>
        <v>2588962</v>
      </c>
      <c r="AI159" s="594">
        <f t="shared" si="23"/>
        <v>2999206</v>
      </c>
      <c r="AJ159" s="597">
        <f t="shared" si="23"/>
        <v>2691009</v>
      </c>
      <c r="AK159" s="593">
        <f t="shared" si="23"/>
        <v>13994334</v>
      </c>
      <c r="AL159" s="594">
        <f t="shared" si="23"/>
        <v>16065561</v>
      </c>
      <c r="AM159" s="595">
        <f t="shared" ref="AM159:BW159" si="24">SUM(AM109:AM158)</f>
        <v>16105780</v>
      </c>
      <c r="AN159" s="596">
        <f t="shared" si="24"/>
        <v>4825699</v>
      </c>
      <c r="AO159" s="594">
        <f t="shared" si="24"/>
        <v>3494500</v>
      </c>
      <c r="AP159" s="597">
        <f t="shared" si="24"/>
        <v>3494500</v>
      </c>
      <c r="AQ159" s="593">
        <f t="shared" si="24"/>
        <v>1626005</v>
      </c>
      <c r="AR159" s="594">
        <f t="shared" si="24"/>
        <v>1881005</v>
      </c>
      <c r="AS159" s="595">
        <f t="shared" si="24"/>
        <v>1903330</v>
      </c>
      <c r="AT159" s="596">
        <f t="shared" si="24"/>
        <v>2753569</v>
      </c>
      <c r="AU159" s="594">
        <f t="shared" si="24"/>
        <v>3057665</v>
      </c>
      <c r="AV159" s="597">
        <f t="shared" si="24"/>
        <v>3039415</v>
      </c>
      <c r="AW159" s="593">
        <f t="shared" si="24"/>
        <v>2906270</v>
      </c>
      <c r="AX159" s="594">
        <f t="shared" si="24"/>
        <v>3806642</v>
      </c>
      <c r="AY159" s="595">
        <f t="shared" si="24"/>
        <v>3774535</v>
      </c>
      <c r="AZ159" s="596">
        <f t="shared" si="24"/>
        <v>356713</v>
      </c>
      <c r="BA159" s="594">
        <f t="shared" si="24"/>
        <v>418250</v>
      </c>
      <c r="BB159" s="597">
        <f t="shared" si="24"/>
        <v>420350</v>
      </c>
      <c r="BC159" s="593">
        <f t="shared" si="24"/>
        <v>487444</v>
      </c>
      <c r="BD159" s="594">
        <f t="shared" si="24"/>
        <v>566655</v>
      </c>
      <c r="BE159" s="595">
        <f t="shared" si="24"/>
        <v>571188</v>
      </c>
      <c r="BF159" s="596">
        <f t="shared" si="24"/>
        <v>6604652</v>
      </c>
      <c r="BG159" s="594">
        <f t="shared" si="24"/>
        <v>7940000</v>
      </c>
      <c r="BH159" s="597">
        <f t="shared" si="24"/>
        <v>9002500</v>
      </c>
      <c r="BI159" s="593">
        <f t="shared" si="24"/>
        <v>11010010</v>
      </c>
      <c r="BJ159" s="594">
        <f t="shared" si="24"/>
        <v>14010494</v>
      </c>
      <c r="BK159" s="595">
        <f t="shared" si="24"/>
        <v>14394141</v>
      </c>
      <c r="BL159" s="596">
        <f t="shared" si="24"/>
        <v>6356801</v>
      </c>
      <c r="BM159" s="594">
        <f t="shared" si="24"/>
        <v>2072201</v>
      </c>
      <c r="BN159" s="597">
        <f t="shared" si="24"/>
        <v>2429500</v>
      </c>
      <c r="BO159" s="593">
        <f t="shared" si="24"/>
        <v>647230</v>
      </c>
      <c r="BP159" s="594">
        <f t="shared" si="24"/>
        <v>730763</v>
      </c>
      <c r="BQ159" s="595">
        <f t="shared" si="24"/>
        <v>744113</v>
      </c>
      <c r="BR159" s="596">
        <f t="shared" si="24"/>
        <v>90649577</v>
      </c>
      <c r="BS159" s="594">
        <f t="shared" si="24"/>
        <v>93747719</v>
      </c>
      <c r="BT159" s="597">
        <f t="shared" si="24"/>
        <v>82672287</v>
      </c>
      <c r="BU159" s="593">
        <f t="shared" si="24"/>
        <v>15800000</v>
      </c>
      <c r="BV159" s="594">
        <f t="shared" si="24"/>
        <v>15800000</v>
      </c>
      <c r="BW159" s="595">
        <f t="shared" si="24"/>
        <v>15800000</v>
      </c>
    </row>
    <row r="160" spans="1:75" ht="24">
      <c r="A160" s="470" t="s">
        <v>49</v>
      </c>
      <c r="B160" s="471">
        <v>51</v>
      </c>
      <c r="C160" s="471" t="s">
        <v>30</v>
      </c>
      <c r="D160" s="604">
        <v>3121</v>
      </c>
      <c r="E160" s="605" t="s">
        <v>51</v>
      </c>
      <c r="F160" s="474" t="s">
        <v>686</v>
      </c>
      <c r="G160" s="564">
        <f t="shared" ref="G160:I165" si="25">BR160+BU160</f>
        <v>800000</v>
      </c>
      <c r="H160" s="565">
        <f t="shared" si="25"/>
        <v>0</v>
      </c>
      <c r="I160" s="566">
        <f t="shared" si="25"/>
        <v>0</v>
      </c>
      <c r="J160" s="567"/>
      <c r="K160" s="568"/>
      <c r="L160" s="569"/>
      <c r="M160" s="570"/>
      <c r="N160" s="568"/>
      <c r="O160" s="571"/>
      <c r="P160" s="567"/>
      <c r="Q160" s="568"/>
      <c r="R160" s="569"/>
      <c r="S160" s="570"/>
      <c r="T160" s="568"/>
      <c r="U160" s="571"/>
      <c r="V160" s="567"/>
      <c r="W160" s="568"/>
      <c r="X160" s="569"/>
      <c r="Y160" s="572">
        <f t="shared" ref="Y160:AA165" si="26">J160+M160+P160+S160+V160</f>
        <v>0</v>
      </c>
      <c r="Z160" s="573">
        <f t="shared" si="26"/>
        <v>0</v>
      </c>
      <c r="AA160" s="574">
        <f t="shared" si="26"/>
        <v>0</v>
      </c>
      <c r="AB160" s="567"/>
      <c r="AC160" s="568"/>
      <c r="AD160" s="569"/>
      <c r="AE160" s="570"/>
      <c r="AF160" s="568"/>
      <c r="AG160" s="571"/>
      <c r="AH160" s="567"/>
      <c r="AI160" s="568"/>
      <c r="AJ160" s="569"/>
      <c r="AK160" s="570"/>
      <c r="AL160" s="568"/>
      <c r="AM160" s="571"/>
      <c r="AN160" s="567">
        <v>800000</v>
      </c>
      <c r="AO160" s="568"/>
      <c r="AP160" s="569"/>
      <c r="AQ160" s="570"/>
      <c r="AR160" s="568"/>
      <c r="AS160" s="571"/>
      <c r="AT160" s="567"/>
      <c r="AU160" s="568"/>
      <c r="AV160" s="569"/>
      <c r="AW160" s="570"/>
      <c r="AX160" s="568"/>
      <c r="AY160" s="571"/>
      <c r="AZ160" s="567"/>
      <c r="BA160" s="568"/>
      <c r="BB160" s="569"/>
      <c r="BC160" s="570"/>
      <c r="BD160" s="568"/>
      <c r="BE160" s="571"/>
      <c r="BF160" s="567"/>
      <c r="BG160" s="568"/>
      <c r="BH160" s="569"/>
      <c r="BI160" s="570"/>
      <c r="BJ160" s="568"/>
      <c r="BK160" s="571"/>
      <c r="BL160" s="567"/>
      <c r="BM160" s="568"/>
      <c r="BN160" s="569"/>
      <c r="BO160" s="570"/>
      <c r="BP160" s="568"/>
      <c r="BQ160" s="571"/>
      <c r="BR160" s="575">
        <f t="shared" ref="BR160:BT165" si="27">AB160+AE160+AH160+AK160+AN160+AQ160+AT160+AW160+AZ160+BC160+BF160+BI160+BL160+BO160+Y160</f>
        <v>800000</v>
      </c>
      <c r="BS160" s="576">
        <f t="shared" si="27"/>
        <v>0</v>
      </c>
      <c r="BT160" s="577">
        <f t="shared" si="27"/>
        <v>0</v>
      </c>
      <c r="BU160" s="578"/>
      <c r="BV160" s="579"/>
      <c r="BW160" s="580"/>
    </row>
    <row r="161" spans="1:75" ht="36">
      <c r="A161" s="470" t="s">
        <v>49</v>
      </c>
      <c r="B161" s="471">
        <v>51</v>
      </c>
      <c r="C161" s="471" t="s">
        <v>30</v>
      </c>
      <c r="D161" s="606">
        <v>3212</v>
      </c>
      <c r="E161" s="607" t="s">
        <v>53</v>
      </c>
      <c r="F161" s="474" t="s">
        <v>686</v>
      </c>
      <c r="G161" s="497">
        <f t="shared" si="25"/>
        <v>100000</v>
      </c>
      <c r="H161" s="498">
        <f t="shared" si="25"/>
        <v>0</v>
      </c>
      <c r="I161" s="499">
        <f t="shared" si="25"/>
        <v>0</v>
      </c>
      <c r="J161" s="500"/>
      <c r="K161" s="501"/>
      <c r="L161" s="502"/>
      <c r="M161" s="503"/>
      <c r="N161" s="501"/>
      <c r="O161" s="504"/>
      <c r="P161" s="500"/>
      <c r="Q161" s="501"/>
      <c r="R161" s="502"/>
      <c r="S161" s="503"/>
      <c r="T161" s="501"/>
      <c r="U161" s="504"/>
      <c r="V161" s="500"/>
      <c r="W161" s="501"/>
      <c r="X161" s="502"/>
      <c r="Y161" s="505">
        <f t="shared" si="26"/>
        <v>0</v>
      </c>
      <c r="Z161" s="506">
        <f t="shared" si="26"/>
        <v>0</v>
      </c>
      <c r="AA161" s="507">
        <f t="shared" si="26"/>
        <v>0</v>
      </c>
      <c r="AB161" s="500"/>
      <c r="AC161" s="501"/>
      <c r="AD161" s="502"/>
      <c r="AE161" s="503"/>
      <c r="AF161" s="501"/>
      <c r="AG161" s="504"/>
      <c r="AH161" s="500"/>
      <c r="AI161" s="501"/>
      <c r="AJ161" s="502"/>
      <c r="AK161" s="503"/>
      <c r="AL161" s="501"/>
      <c r="AM161" s="504"/>
      <c r="AN161" s="500">
        <v>100000</v>
      </c>
      <c r="AO161" s="501"/>
      <c r="AP161" s="502"/>
      <c r="AQ161" s="503"/>
      <c r="AR161" s="501"/>
      <c r="AS161" s="504"/>
      <c r="AT161" s="500"/>
      <c r="AU161" s="501"/>
      <c r="AV161" s="502"/>
      <c r="AW161" s="503"/>
      <c r="AX161" s="501"/>
      <c r="AY161" s="504"/>
      <c r="AZ161" s="500"/>
      <c r="BA161" s="501"/>
      <c r="BB161" s="502"/>
      <c r="BC161" s="503"/>
      <c r="BD161" s="501"/>
      <c r="BE161" s="504"/>
      <c r="BF161" s="500"/>
      <c r="BG161" s="501"/>
      <c r="BH161" s="502"/>
      <c r="BI161" s="503"/>
      <c r="BJ161" s="501"/>
      <c r="BK161" s="504"/>
      <c r="BL161" s="500"/>
      <c r="BM161" s="501"/>
      <c r="BN161" s="502"/>
      <c r="BO161" s="503"/>
      <c r="BP161" s="501"/>
      <c r="BQ161" s="504"/>
      <c r="BR161" s="513">
        <f t="shared" si="27"/>
        <v>100000</v>
      </c>
      <c r="BS161" s="514">
        <f t="shared" si="27"/>
        <v>0</v>
      </c>
      <c r="BT161" s="515">
        <f t="shared" si="27"/>
        <v>0</v>
      </c>
      <c r="BU161" s="516"/>
      <c r="BV161" s="517"/>
      <c r="BW161" s="518"/>
    </row>
    <row r="162" spans="1:75" ht="36">
      <c r="A162" s="470" t="s">
        <v>49</v>
      </c>
      <c r="B162" s="471">
        <v>51</v>
      </c>
      <c r="C162" s="471" t="s">
        <v>30</v>
      </c>
      <c r="D162" s="606">
        <v>3241</v>
      </c>
      <c r="E162" s="607" t="s">
        <v>67</v>
      </c>
      <c r="F162" s="474" t="s">
        <v>686</v>
      </c>
      <c r="G162" s="497">
        <f t="shared" si="25"/>
        <v>50000</v>
      </c>
      <c r="H162" s="498">
        <f t="shared" si="25"/>
        <v>50000</v>
      </c>
      <c r="I162" s="499">
        <f t="shared" si="25"/>
        <v>0</v>
      </c>
      <c r="J162" s="500"/>
      <c r="K162" s="501"/>
      <c r="L162" s="502"/>
      <c r="M162" s="503"/>
      <c r="N162" s="501"/>
      <c r="O162" s="504"/>
      <c r="P162" s="500"/>
      <c r="Q162" s="501"/>
      <c r="R162" s="502"/>
      <c r="S162" s="503"/>
      <c r="T162" s="501"/>
      <c r="U162" s="504"/>
      <c r="V162" s="500"/>
      <c r="W162" s="501"/>
      <c r="X162" s="502"/>
      <c r="Y162" s="505">
        <f t="shared" si="26"/>
        <v>0</v>
      </c>
      <c r="Z162" s="506">
        <f t="shared" si="26"/>
        <v>0</v>
      </c>
      <c r="AA162" s="507">
        <f t="shared" si="26"/>
        <v>0</v>
      </c>
      <c r="AB162" s="500"/>
      <c r="AC162" s="501"/>
      <c r="AD162" s="502"/>
      <c r="AE162" s="503"/>
      <c r="AF162" s="501"/>
      <c r="AG162" s="504"/>
      <c r="AH162" s="500"/>
      <c r="AI162" s="501"/>
      <c r="AJ162" s="502"/>
      <c r="AK162" s="503"/>
      <c r="AL162" s="501"/>
      <c r="AM162" s="504"/>
      <c r="AN162" s="500">
        <v>50000</v>
      </c>
      <c r="AO162" s="501">
        <v>50000</v>
      </c>
      <c r="AP162" s="502"/>
      <c r="AQ162" s="503"/>
      <c r="AR162" s="501"/>
      <c r="AS162" s="504"/>
      <c r="AT162" s="500"/>
      <c r="AU162" s="501"/>
      <c r="AV162" s="502"/>
      <c r="AW162" s="503"/>
      <c r="AX162" s="501"/>
      <c r="AY162" s="504"/>
      <c r="AZ162" s="500"/>
      <c r="BA162" s="501"/>
      <c r="BB162" s="502"/>
      <c r="BC162" s="503"/>
      <c r="BD162" s="501"/>
      <c r="BE162" s="504"/>
      <c r="BF162" s="500"/>
      <c r="BG162" s="501"/>
      <c r="BH162" s="502"/>
      <c r="BI162" s="503"/>
      <c r="BJ162" s="501"/>
      <c r="BK162" s="504"/>
      <c r="BL162" s="500"/>
      <c r="BM162" s="501"/>
      <c r="BN162" s="502"/>
      <c r="BO162" s="503"/>
      <c r="BP162" s="501"/>
      <c r="BQ162" s="504"/>
      <c r="BR162" s="513">
        <f t="shared" si="27"/>
        <v>50000</v>
      </c>
      <c r="BS162" s="514">
        <f t="shared" si="27"/>
        <v>50000</v>
      </c>
      <c r="BT162" s="515">
        <f t="shared" si="27"/>
        <v>0</v>
      </c>
      <c r="BU162" s="516"/>
      <c r="BV162" s="517"/>
      <c r="BW162" s="518"/>
    </row>
    <row r="163" spans="1:75" ht="24">
      <c r="A163" s="470" t="s">
        <v>49</v>
      </c>
      <c r="B163" s="471">
        <v>51</v>
      </c>
      <c r="C163" s="471" t="s">
        <v>30</v>
      </c>
      <c r="D163" s="606">
        <v>3721</v>
      </c>
      <c r="E163" s="607" t="s">
        <v>84</v>
      </c>
      <c r="F163" s="474" t="s">
        <v>686</v>
      </c>
      <c r="G163" s="497">
        <f t="shared" si="25"/>
        <v>60000</v>
      </c>
      <c r="H163" s="498">
        <f t="shared" si="25"/>
        <v>0</v>
      </c>
      <c r="I163" s="499">
        <f t="shared" si="25"/>
        <v>0</v>
      </c>
      <c r="J163" s="500"/>
      <c r="K163" s="501"/>
      <c r="L163" s="502"/>
      <c r="M163" s="503"/>
      <c r="N163" s="501"/>
      <c r="O163" s="504"/>
      <c r="P163" s="500"/>
      <c r="Q163" s="501"/>
      <c r="R163" s="502"/>
      <c r="S163" s="503"/>
      <c r="T163" s="501"/>
      <c r="U163" s="504"/>
      <c r="V163" s="500"/>
      <c r="W163" s="501"/>
      <c r="X163" s="502"/>
      <c r="Y163" s="505">
        <f t="shared" si="26"/>
        <v>0</v>
      </c>
      <c r="Z163" s="506">
        <f t="shared" si="26"/>
        <v>0</v>
      </c>
      <c r="AA163" s="507">
        <f t="shared" si="26"/>
        <v>0</v>
      </c>
      <c r="AB163" s="500"/>
      <c r="AC163" s="501"/>
      <c r="AD163" s="502"/>
      <c r="AE163" s="503"/>
      <c r="AF163" s="501"/>
      <c r="AG163" s="504"/>
      <c r="AH163" s="500"/>
      <c r="AI163" s="501"/>
      <c r="AJ163" s="502"/>
      <c r="AK163" s="503"/>
      <c r="AL163" s="501"/>
      <c r="AM163" s="504"/>
      <c r="AN163" s="500">
        <v>60000</v>
      </c>
      <c r="AO163" s="501"/>
      <c r="AP163" s="502"/>
      <c r="AQ163" s="503"/>
      <c r="AR163" s="501"/>
      <c r="AS163" s="504"/>
      <c r="AT163" s="500"/>
      <c r="AU163" s="501"/>
      <c r="AV163" s="502"/>
      <c r="AW163" s="503"/>
      <c r="AX163" s="501"/>
      <c r="AY163" s="504"/>
      <c r="AZ163" s="500"/>
      <c r="BA163" s="501"/>
      <c r="BB163" s="502"/>
      <c r="BC163" s="503"/>
      <c r="BD163" s="501"/>
      <c r="BE163" s="504"/>
      <c r="BF163" s="500"/>
      <c r="BG163" s="501"/>
      <c r="BH163" s="502"/>
      <c r="BI163" s="503"/>
      <c r="BJ163" s="501"/>
      <c r="BK163" s="504"/>
      <c r="BL163" s="500"/>
      <c r="BM163" s="501"/>
      <c r="BN163" s="502"/>
      <c r="BO163" s="503"/>
      <c r="BP163" s="501"/>
      <c r="BQ163" s="504"/>
      <c r="BR163" s="513">
        <f t="shared" si="27"/>
        <v>60000</v>
      </c>
      <c r="BS163" s="514">
        <f t="shared" si="27"/>
        <v>0</v>
      </c>
      <c r="BT163" s="515">
        <f t="shared" si="27"/>
        <v>0</v>
      </c>
      <c r="BU163" s="516"/>
      <c r="BV163" s="517"/>
      <c r="BW163" s="518"/>
    </row>
    <row r="164" spans="1:75" ht="24">
      <c r="A164" s="519" t="s">
        <v>49</v>
      </c>
      <c r="B164" s="520">
        <v>51</v>
      </c>
      <c r="C164" s="520" t="s">
        <v>30</v>
      </c>
      <c r="D164" s="606">
        <v>3811</v>
      </c>
      <c r="E164" s="607" t="s">
        <v>56</v>
      </c>
      <c r="F164" s="523" t="s">
        <v>686</v>
      </c>
      <c r="G164" s="497">
        <f t="shared" si="25"/>
        <v>5000</v>
      </c>
      <c r="H164" s="498">
        <f t="shared" si="25"/>
        <v>0</v>
      </c>
      <c r="I164" s="499">
        <f t="shared" si="25"/>
        <v>0</v>
      </c>
      <c r="J164" s="500"/>
      <c r="K164" s="501"/>
      <c r="L164" s="502"/>
      <c r="M164" s="503"/>
      <c r="N164" s="501"/>
      <c r="O164" s="504"/>
      <c r="P164" s="500"/>
      <c r="Q164" s="501"/>
      <c r="R164" s="502"/>
      <c r="S164" s="503"/>
      <c r="T164" s="501"/>
      <c r="U164" s="504"/>
      <c r="V164" s="500"/>
      <c r="W164" s="501"/>
      <c r="X164" s="502"/>
      <c r="Y164" s="505">
        <f t="shared" si="26"/>
        <v>0</v>
      </c>
      <c r="Z164" s="506">
        <f t="shared" si="26"/>
        <v>0</v>
      </c>
      <c r="AA164" s="507">
        <f t="shared" si="26"/>
        <v>0</v>
      </c>
      <c r="AB164" s="500"/>
      <c r="AC164" s="501"/>
      <c r="AD164" s="502"/>
      <c r="AE164" s="503"/>
      <c r="AF164" s="501"/>
      <c r="AG164" s="504"/>
      <c r="AH164" s="500"/>
      <c r="AI164" s="501"/>
      <c r="AJ164" s="502"/>
      <c r="AK164" s="503"/>
      <c r="AL164" s="501"/>
      <c r="AM164" s="504"/>
      <c r="AN164" s="500">
        <v>5000</v>
      </c>
      <c r="AO164" s="501"/>
      <c r="AP164" s="502"/>
      <c r="AQ164" s="503"/>
      <c r="AR164" s="501"/>
      <c r="AS164" s="504"/>
      <c r="AT164" s="500"/>
      <c r="AU164" s="501"/>
      <c r="AV164" s="502"/>
      <c r="AW164" s="503"/>
      <c r="AX164" s="501"/>
      <c r="AY164" s="504"/>
      <c r="AZ164" s="500"/>
      <c r="BA164" s="501"/>
      <c r="BB164" s="502"/>
      <c r="BC164" s="503"/>
      <c r="BD164" s="501"/>
      <c r="BE164" s="504"/>
      <c r="BF164" s="500"/>
      <c r="BG164" s="501"/>
      <c r="BH164" s="502"/>
      <c r="BI164" s="503"/>
      <c r="BJ164" s="501"/>
      <c r="BK164" s="504"/>
      <c r="BL164" s="500"/>
      <c r="BM164" s="501"/>
      <c r="BN164" s="502"/>
      <c r="BO164" s="503"/>
      <c r="BP164" s="501"/>
      <c r="BQ164" s="504"/>
      <c r="BR164" s="513">
        <f t="shared" si="27"/>
        <v>5000</v>
      </c>
      <c r="BS164" s="514">
        <f t="shared" si="27"/>
        <v>0</v>
      </c>
      <c r="BT164" s="515">
        <f t="shared" si="27"/>
        <v>0</v>
      </c>
      <c r="BU164" s="516"/>
      <c r="BV164" s="517"/>
      <c r="BW164" s="518"/>
    </row>
    <row r="165" spans="1:75" ht="12.75" thickBot="1">
      <c r="A165" s="524" t="s">
        <v>49</v>
      </c>
      <c r="B165" s="525">
        <v>51</v>
      </c>
      <c r="C165" s="525" t="s">
        <v>30</v>
      </c>
      <c r="D165" s="608">
        <v>4241</v>
      </c>
      <c r="E165" s="609" t="s">
        <v>74</v>
      </c>
      <c r="F165" s="528" t="s">
        <v>686</v>
      </c>
      <c r="G165" s="529">
        <f t="shared" si="25"/>
        <v>25000</v>
      </c>
      <c r="H165" s="530">
        <f t="shared" si="25"/>
        <v>0</v>
      </c>
      <c r="I165" s="531">
        <f t="shared" si="25"/>
        <v>0</v>
      </c>
      <c r="J165" s="532"/>
      <c r="K165" s="533"/>
      <c r="L165" s="534"/>
      <c r="M165" s="535"/>
      <c r="N165" s="533"/>
      <c r="O165" s="536"/>
      <c r="P165" s="532"/>
      <c r="Q165" s="533"/>
      <c r="R165" s="534"/>
      <c r="S165" s="535"/>
      <c r="T165" s="533"/>
      <c r="U165" s="536"/>
      <c r="V165" s="532"/>
      <c r="W165" s="533"/>
      <c r="X165" s="534"/>
      <c r="Y165" s="537">
        <f t="shared" si="26"/>
        <v>0</v>
      </c>
      <c r="Z165" s="538">
        <f t="shared" si="26"/>
        <v>0</v>
      </c>
      <c r="AA165" s="539">
        <f t="shared" si="26"/>
        <v>0</v>
      </c>
      <c r="AB165" s="532"/>
      <c r="AC165" s="533"/>
      <c r="AD165" s="534"/>
      <c r="AE165" s="535"/>
      <c r="AF165" s="533"/>
      <c r="AG165" s="536"/>
      <c r="AH165" s="532"/>
      <c r="AI165" s="533"/>
      <c r="AJ165" s="534"/>
      <c r="AK165" s="535"/>
      <c r="AL165" s="533"/>
      <c r="AM165" s="536"/>
      <c r="AN165" s="532">
        <v>25000</v>
      </c>
      <c r="AO165" s="533"/>
      <c r="AP165" s="534"/>
      <c r="AQ165" s="535"/>
      <c r="AR165" s="533"/>
      <c r="AS165" s="536"/>
      <c r="AT165" s="532"/>
      <c r="AU165" s="533"/>
      <c r="AV165" s="534"/>
      <c r="AW165" s="535"/>
      <c r="AX165" s="533"/>
      <c r="AY165" s="536"/>
      <c r="AZ165" s="532"/>
      <c r="BA165" s="533"/>
      <c r="BB165" s="534"/>
      <c r="BC165" s="535"/>
      <c r="BD165" s="533"/>
      <c r="BE165" s="536"/>
      <c r="BF165" s="532"/>
      <c r="BG165" s="533"/>
      <c r="BH165" s="534"/>
      <c r="BI165" s="535"/>
      <c r="BJ165" s="533"/>
      <c r="BK165" s="536"/>
      <c r="BL165" s="532"/>
      <c r="BM165" s="533"/>
      <c r="BN165" s="534"/>
      <c r="BO165" s="535"/>
      <c r="BP165" s="533"/>
      <c r="BQ165" s="536"/>
      <c r="BR165" s="546">
        <f t="shared" si="27"/>
        <v>25000</v>
      </c>
      <c r="BS165" s="547">
        <f t="shared" si="27"/>
        <v>0</v>
      </c>
      <c r="BT165" s="548">
        <f t="shared" si="27"/>
        <v>0</v>
      </c>
      <c r="BU165" s="549"/>
      <c r="BV165" s="550"/>
      <c r="BW165" s="551"/>
    </row>
    <row r="166" spans="1:75" s="598" customFormat="1" ht="12.75" thickBot="1">
      <c r="A166" s="588" t="s">
        <v>49</v>
      </c>
      <c r="B166" s="589">
        <v>51</v>
      </c>
      <c r="C166" s="589" t="s">
        <v>30</v>
      </c>
      <c r="D166" s="590"/>
      <c r="E166" s="591" t="s">
        <v>161</v>
      </c>
      <c r="F166" s="592" t="s">
        <v>686</v>
      </c>
      <c r="G166" s="593">
        <f t="shared" ref="G166:BR166" si="28">SUM(G160:G165)</f>
        <v>1040000</v>
      </c>
      <c r="H166" s="594">
        <f t="shared" si="28"/>
        <v>50000</v>
      </c>
      <c r="I166" s="595">
        <f t="shared" si="28"/>
        <v>0</v>
      </c>
      <c r="J166" s="596">
        <f t="shared" si="28"/>
        <v>0</v>
      </c>
      <c r="K166" s="594">
        <f t="shared" si="28"/>
        <v>0</v>
      </c>
      <c r="L166" s="597">
        <f t="shared" si="28"/>
        <v>0</v>
      </c>
      <c r="M166" s="593">
        <f t="shared" si="28"/>
        <v>0</v>
      </c>
      <c r="N166" s="594">
        <f t="shared" si="28"/>
        <v>0</v>
      </c>
      <c r="O166" s="595">
        <f t="shared" si="28"/>
        <v>0</v>
      </c>
      <c r="P166" s="596">
        <f t="shared" si="28"/>
        <v>0</v>
      </c>
      <c r="Q166" s="594">
        <f t="shared" si="28"/>
        <v>0</v>
      </c>
      <c r="R166" s="597">
        <f t="shared" si="28"/>
        <v>0</v>
      </c>
      <c r="S166" s="593">
        <f t="shared" si="28"/>
        <v>0</v>
      </c>
      <c r="T166" s="594">
        <f t="shared" si="28"/>
        <v>0</v>
      </c>
      <c r="U166" s="595">
        <f t="shared" si="28"/>
        <v>0</v>
      </c>
      <c r="V166" s="596">
        <f t="shared" si="28"/>
        <v>0</v>
      </c>
      <c r="W166" s="594">
        <f t="shared" si="28"/>
        <v>0</v>
      </c>
      <c r="X166" s="597">
        <f t="shared" si="28"/>
        <v>0</v>
      </c>
      <c r="Y166" s="593">
        <f t="shared" si="28"/>
        <v>0</v>
      </c>
      <c r="Z166" s="594">
        <f t="shared" si="28"/>
        <v>0</v>
      </c>
      <c r="AA166" s="595">
        <f t="shared" si="28"/>
        <v>0</v>
      </c>
      <c r="AB166" s="596">
        <f t="shared" si="28"/>
        <v>0</v>
      </c>
      <c r="AC166" s="594">
        <f t="shared" si="28"/>
        <v>0</v>
      </c>
      <c r="AD166" s="597">
        <f t="shared" si="28"/>
        <v>0</v>
      </c>
      <c r="AE166" s="593">
        <f t="shared" si="28"/>
        <v>0</v>
      </c>
      <c r="AF166" s="594">
        <f t="shared" si="28"/>
        <v>0</v>
      </c>
      <c r="AG166" s="595">
        <f t="shared" si="28"/>
        <v>0</v>
      </c>
      <c r="AH166" s="596">
        <f t="shared" si="28"/>
        <v>0</v>
      </c>
      <c r="AI166" s="594">
        <f t="shared" si="28"/>
        <v>0</v>
      </c>
      <c r="AJ166" s="597">
        <f t="shared" si="28"/>
        <v>0</v>
      </c>
      <c r="AK166" s="593">
        <f t="shared" si="28"/>
        <v>0</v>
      </c>
      <c r="AL166" s="594">
        <f t="shared" si="28"/>
        <v>0</v>
      </c>
      <c r="AM166" s="595">
        <f t="shared" si="28"/>
        <v>0</v>
      </c>
      <c r="AN166" s="596">
        <f t="shared" si="28"/>
        <v>1040000</v>
      </c>
      <c r="AO166" s="594">
        <f t="shared" si="28"/>
        <v>50000</v>
      </c>
      <c r="AP166" s="597">
        <f t="shared" si="28"/>
        <v>0</v>
      </c>
      <c r="AQ166" s="593">
        <f t="shared" si="28"/>
        <v>0</v>
      </c>
      <c r="AR166" s="594">
        <f t="shared" si="28"/>
        <v>0</v>
      </c>
      <c r="AS166" s="595">
        <f t="shared" si="28"/>
        <v>0</v>
      </c>
      <c r="AT166" s="596">
        <f t="shared" si="28"/>
        <v>0</v>
      </c>
      <c r="AU166" s="594">
        <f t="shared" si="28"/>
        <v>0</v>
      </c>
      <c r="AV166" s="597">
        <f t="shared" si="28"/>
        <v>0</v>
      </c>
      <c r="AW166" s="593">
        <f t="shared" si="28"/>
        <v>0</v>
      </c>
      <c r="AX166" s="594">
        <f t="shared" si="28"/>
        <v>0</v>
      </c>
      <c r="AY166" s="595">
        <f t="shared" si="28"/>
        <v>0</v>
      </c>
      <c r="AZ166" s="596">
        <f t="shared" si="28"/>
        <v>0</v>
      </c>
      <c r="BA166" s="594">
        <f t="shared" si="28"/>
        <v>0</v>
      </c>
      <c r="BB166" s="597">
        <f t="shared" si="28"/>
        <v>0</v>
      </c>
      <c r="BC166" s="593">
        <f t="shared" si="28"/>
        <v>0</v>
      </c>
      <c r="BD166" s="594">
        <f t="shared" si="28"/>
        <v>0</v>
      </c>
      <c r="BE166" s="595">
        <f t="shared" si="28"/>
        <v>0</v>
      </c>
      <c r="BF166" s="596">
        <f t="shared" si="28"/>
        <v>0</v>
      </c>
      <c r="BG166" s="594">
        <f t="shared" si="28"/>
        <v>0</v>
      </c>
      <c r="BH166" s="597">
        <f t="shared" si="28"/>
        <v>0</v>
      </c>
      <c r="BI166" s="593">
        <f t="shared" si="28"/>
        <v>0</v>
      </c>
      <c r="BJ166" s="594">
        <f t="shared" si="28"/>
        <v>0</v>
      </c>
      <c r="BK166" s="595">
        <f t="shared" si="28"/>
        <v>0</v>
      </c>
      <c r="BL166" s="596">
        <f t="shared" si="28"/>
        <v>0</v>
      </c>
      <c r="BM166" s="594">
        <f t="shared" si="28"/>
        <v>0</v>
      </c>
      <c r="BN166" s="597">
        <f t="shared" si="28"/>
        <v>0</v>
      </c>
      <c r="BO166" s="593">
        <f t="shared" si="28"/>
        <v>0</v>
      </c>
      <c r="BP166" s="594">
        <f t="shared" si="28"/>
        <v>0</v>
      </c>
      <c r="BQ166" s="595">
        <f t="shared" si="28"/>
        <v>0</v>
      </c>
      <c r="BR166" s="596">
        <f t="shared" si="28"/>
        <v>1040000</v>
      </c>
      <c r="BS166" s="594">
        <f t="shared" ref="BS166:BW166" si="29">SUM(BS160:BS165)</f>
        <v>50000</v>
      </c>
      <c r="BT166" s="597">
        <f t="shared" si="29"/>
        <v>0</v>
      </c>
      <c r="BU166" s="593">
        <f t="shared" si="29"/>
        <v>0</v>
      </c>
      <c r="BV166" s="594">
        <f t="shared" si="29"/>
        <v>0</v>
      </c>
      <c r="BW166" s="595">
        <f t="shared" si="29"/>
        <v>0</v>
      </c>
    </row>
    <row r="167" spans="1:75">
      <c r="A167" s="470" t="s">
        <v>49</v>
      </c>
      <c r="B167" s="471">
        <v>51</v>
      </c>
      <c r="C167" s="471" t="s">
        <v>30</v>
      </c>
      <c r="D167" s="472">
        <v>3211</v>
      </c>
      <c r="E167" s="473" t="s">
        <v>60</v>
      </c>
      <c r="F167" s="474" t="s">
        <v>687</v>
      </c>
      <c r="G167" s="564">
        <f t="shared" ref="G167:I172" si="30">BR167+BU167</f>
        <v>115494</v>
      </c>
      <c r="H167" s="565">
        <f t="shared" si="30"/>
        <v>55150</v>
      </c>
      <c r="I167" s="566">
        <f t="shared" si="30"/>
        <v>0</v>
      </c>
      <c r="J167" s="567"/>
      <c r="K167" s="568"/>
      <c r="L167" s="569"/>
      <c r="M167" s="570"/>
      <c r="N167" s="568"/>
      <c r="O167" s="571"/>
      <c r="P167" s="567"/>
      <c r="Q167" s="568"/>
      <c r="R167" s="569"/>
      <c r="S167" s="570"/>
      <c r="T167" s="568"/>
      <c r="U167" s="571"/>
      <c r="V167" s="567"/>
      <c r="W167" s="568"/>
      <c r="X167" s="569"/>
      <c r="Y167" s="572">
        <f t="shared" ref="Y167:AA172" si="31">J167+M167+P167+S167+V167</f>
        <v>0</v>
      </c>
      <c r="Z167" s="573">
        <f t="shared" si="31"/>
        <v>0</v>
      </c>
      <c r="AA167" s="574">
        <f t="shared" si="31"/>
        <v>0</v>
      </c>
      <c r="AB167" s="610">
        <v>55200</v>
      </c>
      <c r="AC167" s="611">
        <v>40000</v>
      </c>
      <c r="AD167" s="612"/>
      <c r="AE167" s="613">
        <f>9915+8927</f>
        <v>18842</v>
      </c>
      <c r="AF167" s="611"/>
      <c r="AG167" s="614"/>
      <c r="AH167" s="567"/>
      <c r="AI167" s="568"/>
      <c r="AJ167" s="569"/>
      <c r="AK167" s="570"/>
      <c r="AL167" s="568"/>
      <c r="AM167" s="571"/>
      <c r="AN167" s="567"/>
      <c r="AO167" s="568"/>
      <c r="AP167" s="569"/>
      <c r="AQ167" s="570"/>
      <c r="AR167" s="568"/>
      <c r="AS167" s="571"/>
      <c r="AT167" s="567"/>
      <c r="AU167" s="568"/>
      <c r="AV167" s="569"/>
      <c r="AW167" s="613">
        <v>41452</v>
      </c>
      <c r="AX167" s="611">
        <v>15150</v>
      </c>
      <c r="AY167" s="614"/>
      <c r="AZ167" s="567"/>
      <c r="BA167" s="568"/>
      <c r="BB167" s="569"/>
      <c r="BC167" s="570"/>
      <c r="BD167" s="568"/>
      <c r="BE167" s="571"/>
      <c r="BF167" s="567"/>
      <c r="BG167" s="568"/>
      <c r="BH167" s="569"/>
      <c r="BI167" s="613"/>
      <c r="BJ167" s="611"/>
      <c r="BK167" s="614"/>
      <c r="BL167" s="567"/>
      <c r="BM167" s="568"/>
      <c r="BN167" s="569"/>
      <c r="BO167" s="570"/>
      <c r="BP167" s="568"/>
      <c r="BQ167" s="571"/>
      <c r="BR167" s="575">
        <f t="shared" ref="BR167:BT172" si="32">AB167+AE167+AH167+AK167+AN167+AQ167+AT167+AW167+AZ167+BC167+BF167+BI167+BL167+BO167+Y167</f>
        <v>115494</v>
      </c>
      <c r="BS167" s="576">
        <f t="shared" si="32"/>
        <v>55150</v>
      </c>
      <c r="BT167" s="577">
        <f t="shared" si="32"/>
        <v>0</v>
      </c>
      <c r="BU167" s="578"/>
      <c r="BV167" s="579"/>
      <c r="BW167" s="580"/>
    </row>
    <row r="168" spans="1:75" ht="24">
      <c r="A168" s="519" t="s">
        <v>49</v>
      </c>
      <c r="B168" s="520">
        <v>51</v>
      </c>
      <c r="C168" s="520" t="s">
        <v>30</v>
      </c>
      <c r="D168" s="521">
        <v>3237</v>
      </c>
      <c r="E168" s="522" t="s">
        <v>62</v>
      </c>
      <c r="F168" s="523" t="s">
        <v>687</v>
      </c>
      <c r="G168" s="497">
        <f t="shared" si="30"/>
        <v>661090</v>
      </c>
      <c r="H168" s="498">
        <f t="shared" si="30"/>
        <v>204279</v>
      </c>
      <c r="I168" s="499">
        <f t="shared" si="30"/>
        <v>51583</v>
      </c>
      <c r="J168" s="500"/>
      <c r="K168" s="501"/>
      <c r="L168" s="502"/>
      <c r="M168" s="503"/>
      <c r="N168" s="501"/>
      <c r="O168" s="504"/>
      <c r="P168" s="500"/>
      <c r="Q168" s="501"/>
      <c r="R168" s="502"/>
      <c r="S168" s="503"/>
      <c r="T168" s="501"/>
      <c r="U168" s="504"/>
      <c r="V168" s="500"/>
      <c r="W168" s="501"/>
      <c r="X168" s="502"/>
      <c r="Y168" s="505">
        <f t="shared" si="31"/>
        <v>0</v>
      </c>
      <c r="Z168" s="506">
        <f t="shared" si="31"/>
        <v>0</v>
      </c>
      <c r="AA168" s="507">
        <f t="shared" si="31"/>
        <v>0</v>
      </c>
      <c r="AB168" s="615">
        <v>69000</v>
      </c>
      <c r="AC168" s="616">
        <v>80000</v>
      </c>
      <c r="AD168" s="617"/>
      <c r="AE168" s="618">
        <f>28463+239307+171417</f>
        <v>439187</v>
      </c>
      <c r="AF168" s="616">
        <v>18750</v>
      </c>
      <c r="AG168" s="619"/>
      <c r="AH168" s="500"/>
      <c r="AI168" s="501"/>
      <c r="AJ168" s="502"/>
      <c r="AK168" s="503"/>
      <c r="AL168" s="501"/>
      <c r="AM168" s="504"/>
      <c r="AN168" s="500"/>
      <c r="AO168" s="501"/>
      <c r="AP168" s="502"/>
      <c r="AQ168" s="503"/>
      <c r="AR168" s="501"/>
      <c r="AS168" s="504"/>
      <c r="AT168" s="500"/>
      <c r="AU168" s="501"/>
      <c r="AV168" s="502"/>
      <c r="AW168" s="618">
        <v>115643</v>
      </c>
      <c r="AX168" s="616">
        <v>51529</v>
      </c>
      <c r="AY168" s="619">
        <v>51583</v>
      </c>
      <c r="AZ168" s="500"/>
      <c r="BA168" s="501"/>
      <c r="BB168" s="502"/>
      <c r="BC168" s="503"/>
      <c r="BD168" s="501"/>
      <c r="BE168" s="504"/>
      <c r="BF168" s="500"/>
      <c r="BG168" s="501"/>
      <c r="BH168" s="502"/>
      <c r="BI168" s="618">
        <v>37260</v>
      </c>
      <c r="BJ168" s="616">
        <v>54000</v>
      </c>
      <c r="BK168" s="619"/>
      <c r="BL168" s="500"/>
      <c r="BM168" s="501"/>
      <c r="BN168" s="502"/>
      <c r="BO168" s="503"/>
      <c r="BP168" s="501"/>
      <c r="BQ168" s="504"/>
      <c r="BR168" s="513">
        <f t="shared" si="32"/>
        <v>661090</v>
      </c>
      <c r="BS168" s="514">
        <f t="shared" si="32"/>
        <v>204279</v>
      </c>
      <c r="BT168" s="515">
        <f t="shared" si="32"/>
        <v>51583</v>
      </c>
      <c r="BU168" s="516"/>
      <c r="BV168" s="517"/>
      <c r="BW168" s="518"/>
    </row>
    <row r="169" spans="1:75">
      <c r="A169" s="519" t="s">
        <v>49</v>
      </c>
      <c r="B169" s="520">
        <v>51</v>
      </c>
      <c r="C169" s="520" t="s">
        <v>30</v>
      </c>
      <c r="D169" s="521">
        <v>3239</v>
      </c>
      <c r="E169" s="522" t="s">
        <v>66</v>
      </c>
      <c r="F169" s="523" t="s">
        <v>687</v>
      </c>
      <c r="G169" s="497">
        <f t="shared" si="30"/>
        <v>22080</v>
      </c>
      <c r="H169" s="498">
        <f t="shared" si="30"/>
        <v>27000</v>
      </c>
      <c r="I169" s="499">
        <f t="shared" si="30"/>
        <v>0</v>
      </c>
      <c r="J169" s="500"/>
      <c r="K169" s="501"/>
      <c r="L169" s="502"/>
      <c r="M169" s="503"/>
      <c r="N169" s="501"/>
      <c r="O169" s="504"/>
      <c r="P169" s="500"/>
      <c r="Q169" s="501"/>
      <c r="R169" s="502"/>
      <c r="S169" s="503"/>
      <c r="T169" s="501"/>
      <c r="U169" s="504"/>
      <c r="V169" s="500"/>
      <c r="W169" s="501"/>
      <c r="X169" s="502"/>
      <c r="Y169" s="505">
        <f t="shared" si="31"/>
        <v>0</v>
      </c>
      <c r="Z169" s="506">
        <f t="shared" si="31"/>
        <v>0</v>
      </c>
      <c r="AA169" s="507">
        <f t="shared" si="31"/>
        <v>0</v>
      </c>
      <c r="AB169" s="615">
        <v>20700</v>
      </c>
      <c r="AC169" s="616">
        <v>20000</v>
      </c>
      <c r="AD169" s="617"/>
      <c r="AE169" s="618"/>
      <c r="AF169" s="616"/>
      <c r="AG169" s="619"/>
      <c r="AH169" s="500"/>
      <c r="AI169" s="501"/>
      <c r="AJ169" s="502"/>
      <c r="AK169" s="503"/>
      <c r="AL169" s="501"/>
      <c r="AM169" s="504"/>
      <c r="AN169" s="500"/>
      <c r="AO169" s="501"/>
      <c r="AP169" s="502"/>
      <c r="AQ169" s="503"/>
      <c r="AR169" s="501"/>
      <c r="AS169" s="504"/>
      <c r="AT169" s="500"/>
      <c r="AU169" s="501"/>
      <c r="AV169" s="502"/>
      <c r="AW169" s="618"/>
      <c r="AX169" s="616"/>
      <c r="AY169" s="619"/>
      <c r="AZ169" s="500"/>
      <c r="BA169" s="501"/>
      <c r="BB169" s="502"/>
      <c r="BC169" s="503"/>
      <c r="BD169" s="501"/>
      <c r="BE169" s="504"/>
      <c r="BF169" s="500"/>
      <c r="BG169" s="501"/>
      <c r="BH169" s="502"/>
      <c r="BI169" s="618">
        <v>1380</v>
      </c>
      <c r="BJ169" s="616">
        <v>7000</v>
      </c>
      <c r="BK169" s="619"/>
      <c r="BL169" s="500"/>
      <c r="BM169" s="501"/>
      <c r="BN169" s="502"/>
      <c r="BO169" s="503"/>
      <c r="BP169" s="501"/>
      <c r="BQ169" s="504"/>
      <c r="BR169" s="513">
        <f t="shared" si="32"/>
        <v>22080</v>
      </c>
      <c r="BS169" s="514">
        <f t="shared" si="32"/>
        <v>27000</v>
      </c>
      <c r="BT169" s="515">
        <f t="shared" si="32"/>
        <v>0</v>
      </c>
      <c r="BU169" s="516"/>
      <c r="BV169" s="517"/>
      <c r="BW169" s="518"/>
    </row>
    <row r="170" spans="1:75" ht="36">
      <c r="A170" s="519" t="s">
        <v>49</v>
      </c>
      <c r="B170" s="520">
        <v>51</v>
      </c>
      <c r="C170" s="520" t="s">
        <v>30</v>
      </c>
      <c r="D170" s="521">
        <v>3241</v>
      </c>
      <c r="E170" s="522" t="s">
        <v>67</v>
      </c>
      <c r="F170" s="523" t="s">
        <v>687</v>
      </c>
      <c r="G170" s="497">
        <f t="shared" si="30"/>
        <v>6210</v>
      </c>
      <c r="H170" s="498">
        <f t="shared" si="30"/>
        <v>34000</v>
      </c>
      <c r="I170" s="499">
        <f t="shared" si="30"/>
        <v>0</v>
      </c>
      <c r="J170" s="500"/>
      <c r="K170" s="501"/>
      <c r="L170" s="502"/>
      <c r="M170" s="503"/>
      <c r="N170" s="501"/>
      <c r="O170" s="504"/>
      <c r="P170" s="500"/>
      <c r="Q170" s="501"/>
      <c r="R170" s="502"/>
      <c r="S170" s="503"/>
      <c r="T170" s="501"/>
      <c r="U170" s="504"/>
      <c r="V170" s="500"/>
      <c r="W170" s="501"/>
      <c r="X170" s="502"/>
      <c r="Y170" s="505">
        <f t="shared" si="31"/>
        <v>0</v>
      </c>
      <c r="Z170" s="506">
        <f t="shared" si="31"/>
        <v>0</v>
      </c>
      <c r="AA170" s="507">
        <f t="shared" si="31"/>
        <v>0</v>
      </c>
      <c r="AB170" s="615"/>
      <c r="AC170" s="616"/>
      <c r="AD170" s="617"/>
      <c r="AE170" s="618"/>
      <c r="AF170" s="616"/>
      <c r="AG170" s="619"/>
      <c r="AH170" s="500"/>
      <c r="AI170" s="501"/>
      <c r="AJ170" s="502"/>
      <c r="AK170" s="503"/>
      <c r="AL170" s="501"/>
      <c r="AM170" s="504"/>
      <c r="AN170" s="500"/>
      <c r="AO170" s="501"/>
      <c r="AP170" s="502"/>
      <c r="AQ170" s="503"/>
      <c r="AR170" s="501"/>
      <c r="AS170" s="504"/>
      <c r="AT170" s="500"/>
      <c r="AU170" s="501"/>
      <c r="AV170" s="502"/>
      <c r="AW170" s="503"/>
      <c r="AX170" s="501"/>
      <c r="AY170" s="504"/>
      <c r="AZ170" s="500"/>
      <c r="BA170" s="501"/>
      <c r="BB170" s="502"/>
      <c r="BC170" s="503"/>
      <c r="BD170" s="501"/>
      <c r="BE170" s="504"/>
      <c r="BF170" s="500"/>
      <c r="BG170" s="501"/>
      <c r="BH170" s="502"/>
      <c r="BI170" s="618">
        <v>6210</v>
      </c>
      <c r="BJ170" s="616">
        <v>34000</v>
      </c>
      <c r="BK170" s="619"/>
      <c r="BL170" s="500"/>
      <c r="BM170" s="501"/>
      <c r="BN170" s="502"/>
      <c r="BO170" s="503"/>
      <c r="BP170" s="501"/>
      <c r="BQ170" s="504"/>
      <c r="BR170" s="513">
        <f t="shared" si="32"/>
        <v>6210</v>
      </c>
      <c r="BS170" s="514">
        <f t="shared" si="32"/>
        <v>34000</v>
      </c>
      <c r="BT170" s="515">
        <f t="shared" si="32"/>
        <v>0</v>
      </c>
      <c r="BU170" s="516"/>
      <c r="BV170" s="517"/>
      <c r="BW170" s="518"/>
    </row>
    <row r="171" spans="1:75">
      <c r="A171" s="519" t="s">
        <v>49</v>
      </c>
      <c r="B171" s="520">
        <v>51</v>
      </c>
      <c r="C171" s="520" t="s">
        <v>30</v>
      </c>
      <c r="D171" s="521">
        <v>3293</v>
      </c>
      <c r="E171" s="522" t="s">
        <v>68</v>
      </c>
      <c r="F171" s="523" t="s">
        <v>687</v>
      </c>
      <c r="G171" s="497">
        <f t="shared" si="30"/>
        <v>2070</v>
      </c>
      <c r="H171" s="498">
        <f t="shared" si="30"/>
        <v>10000</v>
      </c>
      <c r="I171" s="499">
        <f t="shared" si="30"/>
        <v>0</v>
      </c>
      <c r="J171" s="500"/>
      <c r="K171" s="501"/>
      <c r="L171" s="502"/>
      <c r="M171" s="503"/>
      <c r="N171" s="501"/>
      <c r="O171" s="504"/>
      <c r="P171" s="500"/>
      <c r="Q171" s="501"/>
      <c r="R171" s="502"/>
      <c r="S171" s="503"/>
      <c r="T171" s="501"/>
      <c r="U171" s="504"/>
      <c r="V171" s="500"/>
      <c r="W171" s="501"/>
      <c r="X171" s="502"/>
      <c r="Y171" s="505">
        <f t="shared" si="31"/>
        <v>0</v>
      </c>
      <c r="Z171" s="506">
        <f t="shared" si="31"/>
        <v>0</v>
      </c>
      <c r="AA171" s="507">
        <f t="shared" si="31"/>
        <v>0</v>
      </c>
      <c r="AB171" s="615"/>
      <c r="AC171" s="616"/>
      <c r="AD171" s="617"/>
      <c r="AE171" s="618"/>
      <c r="AF171" s="616"/>
      <c r="AG171" s="619"/>
      <c r="AH171" s="500"/>
      <c r="AI171" s="501"/>
      <c r="AJ171" s="502"/>
      <c r="AK171" s="503"/>
      <c r="AL171" s="501"/>
      <c r="AM171" s="504"/>
      <c r="AN171" s="500"/>
      <c r="AO171" s="501"/>
      <c r="AP171" s="502"/>
      <c r="AQ171" s="503"/>
      <c r="AR171" s="501"/>
      <c r="AS171" s="504"/>
      <c r="AT171" s="500"/>
      <c r="AU171" s="501"/>
      <c r="AV171" s="502"/>
      <c r="AW171" s="503"/>
      <c r="AX171" s="501"/>
      <c r="AY171" s="504"/>
      <c r="AZ171" s="500"/>
      <c r="BA171" s="501"/>
      <c r="BB171" s="502"/>
      <c r="BC171" s="503"/>
      <c r="BD171" s="501"/>
      <c r="BE171" s="504"/>
      <c r="BF171" s="500"/>
      <c r="BG171" s="501"/>
      <c r="BH171" s="502"/>
      <c r="BI171" s="618">
        <v>2070</v>
      </c>
      <c r="BJ171" s="616">
        <v>10000</v>
      </c>
      <c r="BK171" s="619"/>
      <c r="BL171" s="500"/>
      <c r="BM171" s="501"/>
      <c r="BN171" s="502"/>
      <c r="BO171" s="503"/>
      <c r="BP171" s="501"/>
      <c r="BQ171" s="504"/>
      <c r="BR171" s="513">
        <f t="shared" si="32"/>
        <v>2070</v>
      </c>
      <c r="BS171" s="514">
        <f t="shared" si="32"/>
        <v>10000</v>
      </c>
      <c r="BT171" s="515">
        <f t="shared" si="32"/>
        <v>0</v>
      </c>
      <c r="BU171" s="516"/>
      <c r="BV171" s="517"/>
      <c r="BW171" s="518"/>
    </row>
    <row r="172" spans="1:75" ht="24.75" thickBot="1">
      <c r="A172" s="524" t="s">
        <v>49</v>
      </c>
      <c r="B172" s="525">
        <v>51</v>
      </c>
      <c r="C172" s="525" t="s">
        <v>30</v>
      </c>
      <c r="D172" s="526">
        <v>4225</v>
      </c>
      <c r="E172" s="527" t="s">
        <v>85</v>
      </c>
      <c r="F172" s="528" t="s">
        <v>687</v>
      </c>
      <c r="G172" s="529">
        <f t="shared" si="30"/>
        <v>23081</v>
      </c>
      <c r="H172" s="530">
        <f t="shared" si="30"/>
        <v>22300</v>
      </c>
      <c r="I172" s="531">
        <f t="shared" si="30"/>
        <v>0</v>
      </c>
      <c r="J172" s="532"/>
      <c r="K172" s="533"/>
      <c r="L172" s="534"/>
      <c r="M172" s="535"/>
      <c r="N172" s="533"/>
      <c r="O172" s="536"/>
      <c r="P172" s="532"/>
      <c r="Q172" s="533"/>
      <c r="R172" s="534"/>
      <c r="S172" s="535"/>
      <c r="T172" s="533"/>
      <c r="U172" s="536"/>
      <c r="V172" s="532"/>
      <c r="W172" s="533"/>
      <c r="X172" s="534"/>
      <c r="Y172" s="537">
        <f t="shared" si="31"/>
        <v>0</v>
      </c>
      <c r="Z172" s="538">
        <f t="shared" si="31"/>
        <v>0</v>
      </c>
      <c r="AA172" s="539">
        <f t="shared" si="31"/>
        <v>0</v>
      </c>
      <c r="AB172" s="620">
        <v>23081</v>
      </c>
      <c r="AC172" s="621">
        <v>22300</v>
      </c>
      <c r="AD172" s="622"/>
      <c r="AE172" s="623"/>
      <c r="AF172" s="621"/>
      <c r="AG172" s="624"/>
      <c r="AH172" s="532"/>
      <c r="AI172" s="533"/>
      <c r="AJ172" s="534"/>
      <c r="AK172" s="535"/>
      <c r="AL172" s="533"/>
      <c r="AM172" s="536"/>
      <c r="AN172" s="532"/>
      <c r="AO172" s="533"/>
      <c r="AP172" s="534"/>
      <c r="AQ172" s="535"/>
      <c r="AR172" s="533"/>
      <c r="AS172" s="536"/>
      <c r="AT172" s="532"/>
      <c r="AU172" s="533"/>
      <c r="AV172" s="534"/>
      <c r="AW172" s="535"/>
      <c r="AX172" s="533"/>
      <c r="AY172" s="536"/>
      <c r="AZ172" s="532"/>
      <c r="BA172" s="533"/>
      <c r="BB172" s="534"/>
      <c r="BC172" s="535"/>
      <c r="BD172" s="533"/>
      <c r="BE172" s="536"/>
      <c r="BF172" s="532"/>
      <c r="BG172" s="533"/>
      <c r="BH172" s="534"/>
      <c r="BI172" s="623"/>
      <c r="BJ172" s="621"/>
      <c r="BK172" s="624"/>
      <c r="BL172" s="532"/>
      <c r="BM172" s="533"/>
      <c r="BN172" s="534"/>
      <c r="BO172" s="535"/>
      <c r="BP172" s="533"/>
      <c r="BQ172" s="536"/>
      <c r="BR172" s="546">
        <f t="shared" si="32"/>
        <v>23081</v>
      </c>
      <c r="BS172" s="547">
        <f t="shared" si="32"/>
        <v>22300</v>
      </c>
      <c r="BT172" s="548">
        <f t="shared" si="32"/>
        <v>0</v>
      </c>
      <c r="BU172" s="549"/>
      <c r="BV172" s="550"/>
      <c r="BW172" s="551"/>
    </row>
    <row r="173" spans="1:75" ht="12.75" thickBot="1">
      <c r="A173" s="581" t="s">
        <v>49</v>
      </c>
      <c r="B173" s="554">
        <v>51</v>
      </c>
      <c r="C173" s="554" t="s">
        <v>30</v>
      </c>
      <c r="D173" s="555"/>
      <c r="E173" s="556" t="s">
        <v>161</v>
      </c>
      <c r="F173" s="557" t="s">
        <v>687</v>
      </c>
      <c r="G173" s="558">
        <f t="shared" ref="G173:BR173" si="33">SUM(G167:G172)</f>
        <v>830025</v>
      </c>
      <c r="H173" s="559">
        <f t="shared" si="33"/>
        <v>352729</v>
      </c>
      <c r="I173" s="560">
        <f t="shared" si="33"/>
        <v>51583</v>
      </c>
      <c r="J173" s="561">
        <f t="shared" si="33"/>
        <v>0</v>
      </c>
      <c r="K173" s="559">
        <f t="shared" si="33"/>
        <v>0</v>
      </c>
      <c r="L173" s="562">
        <f t="shared" si="33"/>
        <v>0</v>
      </c>
      <c r="M173" s="558">
        <f t="shared" si="33"/>
        <v>0</v>
      </c>
      <c r="N173" s="559">
        <f t="shared" si="33"/>
        <v>0</v>
      </c>
      <c r="O173" s="560">
        <f t="shared" si="33"/>
        <v>0</v>
      </c>
      <c r="P173" s="561">
        <f t="shared" si="33"/>
        <v>0</v>
      </c>
      <c r="Q173" s="559">
        <f t="shared" si="33"/>
        <v>0</v>
      </c>
      <c r="R173" s="562">
        <f t="shared" si="33"/>
        <v>0</v>
      </c>
      <c r="S173" s="558">
        <f t="shared" si="33"/>
        <v>0</v>
      </c>
      <c r="T173" s="559">
        <f t="shared" si="33"/>
        <v>0</v>
      </c>
      <c r="U173" s="560">
        <f t="shared" si="33"/>
        <v>0</v>
      </c>
      <c r="V173" s="561">
        <f t="shared" si="33"/>
        <v>0</v>
      </c>
      <c r="W173" s="559">
        <f t="shared" si="33"/>
        <v>0</v>
      </c>
      <c r="X173" s="562">
        <f t="shared" si="33"/>
        <v>0</v>
      </c>
      <c r="Y173" s="558">
        <f t="shared" si="33"/>
        <v>0</v>
      </c>
      <c r="Z173" s="559">
        <f t="shared" si="33"/>
        <v>0</v>
      </c>
      <c r="AA173" s="560">
        <f t="shared" si="33"/>
        <v>0</v>
      </c>
      <c r="AB173" s="561">
        <f t="shared" si="33"/>
        <v>167981</v>
      </c>
      <c r="AC173" s="559">
        <f t="shared" si="33"/>
        <v>162300</v>
      </c>
      <c r="AD173" s="562">
        <f t="shared" si="33"/>
        <v>0</v>
      </c>
      <c r="AE173" s="558">
        <f t="shared" si="33"/>
        <v>458029</v>
      </c>
      <c r="AF173" s="559">
        <f t="shared" si="33"/>
        <v>18750</v>
      </c>
      <c r="AG173" s="560">
        <f t="shared" si="33"/>
        <v>0</v>
      </c>
      <c r="AH173" s="561">
        <f t="shared" si="33"/>
        <v>0</v>
      </c>
      <c r="AI173" s="559">
        <f t="shared" si="33"/>
        <v>0</v>
      </c>
      <c r="AJ173" s="562">
        <f t="shared" si="33"/>
        <v>0</v>
      </c>
      <c r="AK173" s="558">
        <f t="shared" si="33"/>
        <v>0</v>
      </c>
      <c r="AL173" s="559">
        <f t="shared" si="33"/>
        <v>0</v>
      </c>
      <c r="AM173" s="560">
        <f t="shared" si="33"/>
        <v>0</v>
      </c>
      <c r="AN173" s="561">
        <f t="shared" si="33"/>
        <v>0</v>
      </c>
      <c r="AO173" s="559">
        <f t="shared" si="33"/>
        <v>0</v>
      </c>
      <c r="AP173" s="562">
        <f t="shared" si="33"/>
        <v>0</v>
      </c>
      <c r="AQ173" s="558">
        <f t="shared" si="33"/>
        <v>0</v>
      </c>
      <c r="AR173" s="559">
        <f t="shared" si="33"/>
        <v>0</v>
      </c>
      <c r="AS173" s="560">
        <f t="shared" si="33"/>
        <v>0</v>
      </c>
      <c r="AT173" s="561">
        <f t="shared" si="33"/>
        <v>0</v>
      </c>
      <c r="AU173" s="559">
        <f t="shared" si="33"/>
        <v>0</v>
      </c>
      <c r="AV173" s="562">
        <f t="shared" si="33"/>
        <v>0</v>
      </c>
      <c r="AW173" s="558">
        <f t="shared" si="33"/>
        <v>157095</v>
      </c>
      <c r="AX173" s="559">
        <f t="shared" si="33"/>
        <v>66679</v>
      </c>
      <c r="AY173" s="560">
        <f t="shared" si="33"/>
        <v>51583</v>
      </c>
      <c r="AZ173" s="561">
        <f t="shared" si="33"/>
        <v>0</v>
      </c>
      <c r="BA173" s="559">
        <f t="shared" si="33"/>
        <v>0</v>
      </c>
      <c r="BB173" s="562">
        <f t="shared" si="33"/>
        <v>0</v>
      </c>
      <c r="BC173" s="558">
        <f t="shared" si="33"/>
        <v>0</v>
      </c>
      <c r="BD173" s="559">
        <f t="shared" si="33"/>
        <v>0</v>
      </c>
      <c r="BE173" s="560">
        <f t="shared" si="33"/>
        <v>0</v>
      </c>
      <c r="BF173" s="561">
        <f t="shared" si="33"/>
        <v>0</v>
      </c>
      <c r="BG173" s="559">
        <f t="shared" si="33"/>
        <v>0</v>
      </c>
      <c r="BH173" s="562">
        <f t="shared" si="33"/>
        <v>0</v>
      </c>
      <c r="BI173" s="558">
        <f t="shared" si="33"/>
        <v>46920</v>
      </c>
      <c r="BJ173" s="559">
        <f t="shared" si="33"/>
        <v>105000</v>
      </c>
      <c r="BK173" s="560">
        <f t="shared" si="33"/>
        <v>0</v>
      </c>
      <c r="BL173" s="561">
        <f t="shared" si="33"/>
        <v>0</v>
      </c>
      <c r="BM173" s="559">
        <f t="shared" si="33"/>
        <v>0</v>
      </c>
      <c r="BN173" s="562">
        <f t="shared" si="33"/>
        <v>0</v>
      </c>
      <c r="BO173" s="558">
        <f t="shared" si="33"/>
        <v>0</v>
      </c>
      <c r="BP173" s="559">
        <f t="shared" si="33"/>
        <v>0</v>
      </c>
      <c r="BQ173" s="560">
        <f t="shared" si="33"/>
        <v>0</v>
      </c>
      <c r="BR173" s="561">
        <f t="shared" si="33"/>
        <v>830025</v>
      </c>
      <c r="BS173" s="559">
        <f t="shared" ref="BS173:BW173" si="34">SUM(BS167:BS172)</f>
        <v>352729</v>
      </c>
      <c r="BT173" s="562">
        <f t="shared" si="34"/>
        <v>51583</v>
      </c>
      <c r="BU173" s="558">
        <f t="shared" si="34"/>
        <v>0</v>
      </c>
      <c r="BV173" s="559">
        <f t="shared" si="34"/>
        <v>0</v>
      </c>
      <c r="BW173" s="560">
        <f t="shared" si="34"/>
        <v>0</v>
      </c>
    </row>
    <row r="174" spans="1:75" ht="12.75" thickBot="1">
      <c r="A174" s="588" t="s">
        <v>49</v>
      </c>
      <c r="B174" s="589">
        <v>51</v>
      </c>
      <c r="C174" s="589" t="s">
        <v>30</v>
      </c>
      <c r="D174" s="590"/>
      <c r="E174" s="591" t="s">
        <v>735</v>
      </c>
      <c r="F174" s="592"/>
      <c r="G174" s="593">
        <f t="shared" ref="G174:BR174" si="35">G166+G173</f>
        <v>1870025</v>
      </c>
      <c r="H174" s="594">
        <f t="shared" si="35"/>
        <v>402729</v>
      </c>
      <c r="I174" s="595">
        <f t="shared" si="35"/>
        <v>51583</v>
      </c>
      <c r="J174" s="596">
        <f t="shared" si="35"/>
        <v>0</v>
      </c>
      <c r="K174" s="594">
        <f t="shared" si="35"/>
        <v>0</v>
      </c>
      <c r="L174" s="597">
        <f t="shared" si="35"/>
        <v>0</v>
      </c>
      <c r="M174" s="593">
        <f t="shared" si="35"/>
        <v>0</v>
      </c>
      <c r="N174" s="594">
        <f t="shared" si="35"/>
        <v>0</v>
      </c>
      <c r="O174" s="595">
        <f t="shared" si="35"/>
        <v>0</v>
      </c>
      <c r="P174" s="596">
        <f t="shared" si="35"/>
        <v>0</v>
      </c>
      <c r="Q174" s="594">
        <f t="shared" si="35"/>
        <v>0</v>
      </c>
      <c r="R174" s="597">
        <f t="shared" si="35"/>
        <v>0</v>
      </c>
      <c r="S174" s="593">
        <f t="shared" si="35"/>
        <v>0</v>
      </c>
      <c r="T174" s="594">
        <f t="shared" si="35"/>
        <v>0</v>
      </c>
      <c r="U174" s="595">
        <f t="shared" si="35"/>
        <v>0</v>
      </c>
      <c r="V174" s="596">
        <f t="shared" si="35"/>
        <v>0</v>
      </c>
      <c r="W174" s="594">
        <f t="shared" si="35"/>
        <v>0</v>
      </c>
      <c r="X174" s="597">
        <f t="shared" si="35"/>
        <v>0</v>
      </c>
      <c r="Y174" s="593">
        <f t="shared" si="35"/>
        <v>0</v>
      </c>
      <c r="Z174" s="594">
        <f t="shared" si="35"/>
        <v>0</v>
      </c>
      <c r="AA174" s="595">
        <f t="shared" si="35"/>
        <v>0</v>
      </c>
      <c r="AB174" s="596">
        <f t="shared" si="35"/>
        <v>167981</v>
      </c>
      <c r="AC174" s="594">
        <f t="shared" si="35"/>
        <v>162300</v>
      </c>
      <c r="AD174" s="597">
        <f t="shared" si="35"/>
        <v>0</v>
      </c>
      <c r="AE174" s="593">
        <f t="shared" si="35"/>
        <v>458029</v>
      </c>
      <c r="AF174" s="594">
        <f t="shared" si="35"/>
        <v>18750</v>
      </c>
      <c r="AG174" s="595">
        <f t="shared" si="35"/>
        <v>0</v>
      </c>
      <c r="AH174" s="596">
        <f t="shared" si="35"/>
        <v>0</v>
      </c>
      <c r="AI174" s="594">
        <f t="shared" si="35"/>
        <v>0</v>
      </c>
      <c r="AJ174" s="597">
        <f t="shared" si="35"/>
        <v>0</v>
      </c>
      <c r="AK174" s="593">
        <f t="shared" si="35"/>
        <v>0</v>
      </c>
      <c r="AL174" s="594">
        <f t="shared" si="35"/>
        <v>0</v>
      </c>
      <c r="AM174" s="595">
        <f t="shared" si="35"/>
        <v>0</v>
      </c>
      <c r="AN174" s="596">
        <f t="shared" si="35"/>
        <v>1040000</v>
      </c>
      <c r="AO174" s="594">
        <f t="shared" si="35"/>
        <v>50000</v>
      </c>
      <c r="AP174" s="597">
        <f t="shared" si="35"/>
        <v>0</v>
      </c>
      <c r="AQ174" s="593">
        <f t="shared" si="35"/>
        <v>0</v>
      </c>
      <c r="AR174" s="594">
        <f t="shared" si="35"/>
        <v>0</v>
      </c>
      <c r="AS174" s="595">
        <f t="shared" si="35"/>
        <v>0</v>
      </c>
      <c r="AT174" s="596">
        <f t="shared" si="35"/>
        <v>0</v>
      </c>
      <c r="AU174" s="594">
        <f t="shared" si="35"/>
        <v>0</v>
      </c>
      <c r="AV174" s="597">
        <f t="shared" si="35"/>
        <v>0</v>
      </c>
      <c r="AW174" s="593">
        <f t="shared" si="35"/>
        <v>157095</v>
      </c>
      <c r="AX174" s="594">
        <f t="shared" si="35"/>
        <v>66679</v>
      </c>
      <c r="AY174" s="595">
        <f t="shared" si="35"/>
        <v>51583</v>
      </c>
      <c r="AZ174" s="596">
        <f t="shared" si="35"/>
        <v>0</v>
      </c>
      <c r="BA174" s="594">
        <f t="shared" si="35"/>
        <v>0</v>
      </c>
      <c r="BB174" s="597">
        <f t="shared" si="35"/>
        <v>0</v>
      </c>
      <c r="BC174" s="593">
        <f t="shared" si="35"/>
        <v>0</v>
      </c>
      <c r="BD174" s="594">
        <f t="shared" si="35"/>
        <v>0</v>
      </c>
      <c r="BE174" s="595">
        <f t="shared" si="35"/>
        <v>0</v>
      </c>
      <c r="BF174" s="596">
        <f t="shared" si="35"/>
        <v>0</v>
      </c>
      <c r="BG174" s="594">
        <f t="shared" si="35"/>
        <v>0</v>
      </c>
      <c r="BH174" s="597">
        <f t="shared" si="35"/>
        <v>0</v>
      </c>
      <c r="BI174" s="593">
        <f t="shared" si="35"/>
        <v>46920</v>
      </c>
      <c r="BJ174" s="594">
        <f t="shared" si="35"/>
        <v>105000</v>
      </c>
      <c r="BK174" s="595">
        <f t="shared" si="35"/>
        <v>0</v>
      </c>
      <c r="BL174" s="596">
        <f t="shared" si="35"/>
        <v>0</v>
      </c>
      <c r="BM174" s="594">
        <f t="shared" si="35"/>
        <v>0</v>
      </c>
      <c r="BN174" s="597">
        <f t="shared" si="35"/>
        <v>0</v>
      </c>
      <c r="BO174" s="593">
        <f t="shared" si="35"/>
        <v>0</v>
      </c>
      <c r="BP174" s="594">
        <f t="shared" si="35"/>
        <v>0</v>
      </c>
      <c r="BQ174" s="595">
        <f t="shared" si="35"/>
        <v>0</v>
      </c>
      <c r="BR174" s="596">
        <f t="shared" si="35"/>
        <v>1870025</v>
      </c>
      <c r="BS174" s="594">
        <f t="shared" ref="BS174:BW174" si="36">BS166+BS173</f>
        <v>402729</v>
      </c>
      <c r="BT174" s="597">
        <f t="shared" si="36"/>
        <v>51583</v>
      </c>
      <c r="BU174" s="593">
        <f t="shared" si="36"/>
        <v>0</v>
      </c>
      <c r="BV174" s="594">
        <f t="shared" si="36"/>
        <v>0</v>
      </c>
      <c r="BW174" s="595">
        <f t="shared" si="36"/>
        <v>0</v>
      </c>
    </row>
    <row r="175" spans="1:75" ht="24">
      <c r="A175" s="470" t="s">
        <v>49</v>
      </c>
      <c r="B175" s="471">
        <v>52</v>
      </c>
      <c r="C175" s="471" t="s">
        <v>32</v>
      </c>
      <c r="D175" s="472">
        <v>3111</v>
      </c>
      <c r="E175" s="473" t="s">
        <v>50</v>
      </c>
      <c r="F175" s="474" t="s">
        <v>687</v>
      </c>
      <c r="G175" s="625">
        <f t="shared" ref="G175:I202" si="37">BR175+BU175</f>
        <v>1726989</v>
      </c>
      <c r="H175" s="626">
        <f t="shared" si="37"/>
        <v>456367</v>
      </c>
      <c r="I175" s="627">
        <f t="shared" si="37"/>
        <v>0</v>
      </c>
      <c r="J175" s="610"/>
      <c r="K175" s="611"/>
      <c r="L175" s="612"/>
      <c r="M175" s="613">
        <v>126256</v>
      </c>
      <c r="N175" s="611">
        <v>150000</v>
      </c>
      <c r="O175" s="614"/>
      <c r="P175" s="567"/>
      <c r="Q175" s="568"/>
      <c r="R175" s="569"/>
      <c r="S175" s="570"/>
      <c r="T175" s="568"/>
      <c r="U175" s="571"/>
      <c r="V175" s="610"/>
      <c r="W175" s="611"/>
      <c r="X175" s="612"/>
      <c r="Y175" s="572">
        <f t="shared" ref="Y175:AA202" si="38">J175+M175+P175+S175+V175</f>
        <v>126256</v>
      </c>
      <c r="Z175" s="573">
        <f t="shared" si="38"/>
        <v>150000</v>
      </c>
      <c r="AA175" s="574">
        <f t="shared" si="38"/>
        <v>0</v>
      </c>
      <c r="AB175" s="610"/>
      <c r="AC175" s="611"/>
      <c r="AD175" s="612"/>
      <c r="AE175" s="613"/>
      <c r="AF175" s="611"/>
      <c r="AG175" s="614"/>
      <c r="AH175" s="610">
        <f>243867+93342+132673</f>
        <v>469882</v>
      </c>
      <c r="AI175" s="568">
        <v>44367</v>
      </c>
      <c r="AJ175" s="569"/>
      <c r="AK175" s="570"/>
      <c r="AL175" s="568"/>
      <c r="AM175" s="571"/>
      <c r="AN175" s="610">
        <f>107332+135325</f>
        <v>242657</v>
      </c>
      <c r="AO175" s="611">
        <v>142000</v>
      </c>
      <c r="AP175" s="612"/>
      <c r="AQ175" s="613">
        <f>9712+237800</f>
        <v>247512</v>
      </c>
      <c r="AR175" s="611"/>
      <c r="AS175" s="571"/>
      <c r="AT175" s="567"/>
      <c r="AU175" s="568"/>
      <c r="AV175" s="569"/>
      <c r="AW175" s="570"/>
      <c r="AX175" s="568"/>
      <c r="AY175" s="571"/>
      <c r="AZ175" s="567"/>
      <c r="BA175" s="568"/>
      <c r="BB175" s="569"/>
      <c r="BC175" s="570"/>
      <c r="BD175" s="568"/>
      <c r="BE175" s="571"/>
      <c r="BF175" s="610">
        <f>395886+5649</f>
        <v>401535</v>
      </c>
      <c r="BG175" s="611"/>
      <c r="BH175" s="612"/>
      <c r="BI175" s="613">
        <f>7287+67788</f>
        <v>75075</v>
      </c>
      <c r="BJ175" s="611">
        <v>120000</v>
      </c>
      <c r="BK175" s="614"/>
      <c r="BL175" s="610">
        <v>164072</v>
      </c>
      <c r="BM175" s="611"/>
      <c r="BN175" s="612"/>
      <c r="BO175" s="570"/>
      <c r="BP175" s="568"/>
      <c r="BQ175" s="571"/>
      <c r="BR175" s="575">
        <f t="shared" ref="BR175:BT202" si="39">AB175+AE175+AH175+AK175+AN175+AQ175+AT175+AW175+AZ175+BC175+BF175+BI175+BL175+BO175+Y175</f>
        <v>1726989</v>
      </c>
      <c r="BS175" s="576">
        <f t="shared" si="39"/>
        <v>456367</v>
      </c>
      <c r="BT175" s="577">
        <f t="shared" si="39"/>
        <v>0</v>
      </c>
      <c r="BU175" s="578"/>
      <c r="BV175" s="579"/>
      <c r="BW175" s="580"/>
    </row>
    <row r="176" spans="1:75" ht="24">
      <c r="A176" s="470" t="s">
        <v>49</v>
      </c>
      <c r="B176" s="471">
        <v>52</v>
      </c>
      <c r="C176" s="471" t="s">
        <v>32</v>
      </c>
      <c r="D176" s="472">
        <v>3113</v>
      </c>
      <c r="E176" s="473" t="s">
        <v>751</v>
      </c>
      <c r="F176" s="474" t="s">
        <v>687</v>
      </c>
      <c r="G176" s="625">
        <f t="shared" si="37"/>
        <v>45192</v>
      </c>
      <c r="H176" s="626">
        <f t="shared" si="37"/>
        <v>0</v>
      </c>
      <c r="I176" s="627">
        <f t="shared" si="37"/>
        <v>0</v>
      </c>
      <c r="J176" s="610"/>
      <c r="K176" s="611"/>
      <c r="L176" s="612"/>
      <c r="M176" s="613"/>
      <c r="N176" s="611"/>
      <c r="O176" s="614"/>
      <c r="P176" s="567"/>
      <c r="Q176" s="568"/>
      <c r="R176" s="569"/>
      <c r="S176" s="570"/>
      <c r="T176" s="568"/>
      <c r="U176" s="571"/>
      <c r="V176" s="610"/>
      <c r="W176" s="611"/>
      <c r="X176" s="612"/>
      <c r="Y176" s="572">
        <f t="shared" si="38"/>
        <v>0</v>
      </c>
      <c r="Z176" s="573">
        <f t="shared" si="38"/>
        <v>0</v>
      </c>
      <c r="AA176" s="574">
        <f t="shared" si="38"/>
        <v>0</v>
      </c>
      <c r="AB176" s="610"/>
      <c r="AC176" s="611"/>
      <c r="AD176" s="612"/>
      <c r="AE176" s="613"/>
      <c r="AF176" s="611"/>
      <c r="AG176" s="614"/>
      <c r="AH176" s="610"/>
      <c r="AI176" s="568"/>
      <c r="AJ176" s="569"/>
      <c r="AK176" s="570"/>
      <c r="AL176" s="568"/>
      <c r="AM176" s="571"/>
      <c r="AN176" s="610"/>
      <c r="AO176" s="611"/>
      <c r="AP176" s="612"/>
      <c r="AQ176" s="613"/>
      <c r="AR176" s="611"/>
      <c r="AS176" s="571"/>
      <c r="AT176" s="567"/>
      <c r="AU176" s="568"/>
      <c r="AV176" s="569"/>
      <c r="AW176" s="570"/>
      <c r="AX176" s="568"/>
      <c r="AY176" s="571"/>
      <c r="AZ176" s="567"/>
      <c r="BA176" s="568"/>
      <c r="BB176" s="569"/>
      <c r="BC176" s="570"/>
      <c r="BD176" s="568"/>
      <c r="BE176" s="571"/>
      <c r="BF176" s="610">
        <v>45192</v>
      </c>
      <c r="BG176" s="611"/>
      <c r="BH176" s="612"/>
      <c r="BI176" s="613"/>
      <c r="BJ176" s="611"/>
      <c r="BK176" s="614"/>
      <c r="BL176" s="610"/>
      <c r="BM176" s="611"/>
      <c r="BN176" s="612"/>
      <c r="BO176" s="570"/>
      <c r="BP176" s="568"/>
      <c r="BQ176" s="571"/>
      <c r="BR176" s="575">
        <f t="shared" si="39"/>
        <v>45192</v>
      </c>
      <c r="BS176" s="576">
        <f t="shared" si="39"/>
        <v>0</v>
      </c>
      <c r="BT176" s="577">
        <f t="shared" si="39"/>
        <v>0</v>
      </c>
      <c r="BU176" s="578"/>
      <c r="BV176" s="579"/>
      <c r="BW176" s="580"/>
    </row>
    <row r="177" spans="1:75" ht="24">
      <c r="A177" s="470" t="s">
        <v>49</v>
      </c>
      <c r="B177" s="471">
        <v>52</v>
      </c>
      <c r="C177" s="471" t="s">
        <v>32</v>
      </c>
      <c r="D177" s="521">
        <v>3121</v>
      </c>
      <c r="E177" s="522" t="s">
        <v>51</v>
      </c>
      <c r="F177" s="523" t="s">
        <v>687</v>
      </c>
      <c r="G177" s="628">
        <f t="shared" si="37"/>
        <v>62531</v>
      </c>
      <c r="H177" s="629">
        <f t="shared" si="37"/>
        <v>157144</v>
      </c>
      <c r="I177" s="630">
        <f t="shared" si="37"/>
        <v>0</v>
      </c>
      <c r="J177" s="615"/>
      <c r="K177" s="616"/>
      <c r="L177" s="617"/>
      <c r="M177" s="618"/>
      <c r="N177" s="616"/>
      <c r="O177" s="619"/>
      <c r="P177" s="500"/>
      <c r="Q177" s="501"/>
      <c r="R177" s="502"/>
      <c r="S177" s="503"/>
      <c r="T177" s="501"/>
      <c r="U177" s="504"/>
      <c r="V177" s="615"/>
      <c r="W177" s="616"/>
      <c r="X177" s="617"/>
      <c r="Y177" s="505">
        <f t="shared" si="38"/>
        <v>0</v>
      </c>
      <c r="Z177" s="506">
        <f t="shared" si="38"/>
        <v>0</v>
      </c>
      <c r="AA177" s="507">
        <f t="shared" si="38"/>
        <v>0</v>
      </c>
      <c r="AB177" s="615"/>
      <c r="AC177" s="616"/>
      <c r="AD177" s="617"/>
      <c r="AE177" s="618">
        <f>16947+35090</f>
        <v>52037</v>
      </c>
      <c r="AF177" s="616">
        <v>157144</v>
      </c>
      <c r="AG177" s="619"/>
      <c r="AH177" s="615"/>
      <c r="AI177" s="501"/>
      <c r="AJ177" s="502"/>
      <c r="AK177" s="503"/>
      <c r="AL177" s="501"/>
      <c r="AM177" s="504"/>
      <c r="AN177" s="615">
        <f>2825+7669</f>
        <v>10494</v>
      </c>
      <c r="AO177" s="616"/>
      <c r="AP177" s="617"/>
      <c r="AQ177" s="618"/>
      <c r="AR177" s="616"/>
      <c r="AS177" s="504"/>
      <c r="AT177" s="500"/>
      <c r="AU177" s="501"/>
      <c r="AV177" s="502"/>
      <c r="AW177" s="503"/>
      <c r="AX177" s="501"/>
      <c r="AY177" s="504"/>
      <c r="AZ177" s="500"/>
      <c r="BA177" s="501"/>
      <c r="BB177" s="502"/>
      <c r="BC177" s="503"/>
      <c r="BD177" s="501"/>
      <c r="BE177" s="504"/>
      <c r="BF177" s="615"/>
      <c r="BG177" s="616"/>
      <c r="BH177" s="617"/>
      <c r="BI177" s="618"/>
      <c r="BJ177" s="616"/>
      <c r="BK177" s="619"/>
      <c r="BL177" s="615"/>
      <c r="BM177" s="616"/>
      <c r="BN177" s="617"/>
      <c r="BO177" s="503"/>
      <c r="BP177" s="501"/>
      <c r="BQ177" s="504"/>
      <c r="BR177" s="513">
        <f t="shared" si="39"/>
        <v>62531</v>
      </c>
      <c r="BS177" s="514">
        <f t="shared" si="39"/>
        <v>157144</v>
      </c>
      <c r="BT177" s="515">
        <f t="shared" si="39"/>
        <v>0</v>
      </c>
      <c r="BU177" s="516"/>
      <c r="BV177" s="517"/>
      <c r="BW177" s="518"/>
    </row>
    <row r="178" spans="1:75" ht="36">
      <c r="A178" s="470" t="s">
        <v>49</v>
      </c>
      <c r="B178" s="471">
        <v>52</v>
      </c>
      <c r="C178" s="471" t="s">
        <v>32</v>
      </c>
      <c r="D178" s="521">
        <v>3132</v>
      </c>
      <c r="E178" s="522" t="s">
        <v>52</v>
      </c>
      <c r="F178" s="523" t="s">
        <v>687</v>
      </c>
      <c r="G178" s="628">
        <f t="shared" si="37"/>
        <v>239525</v>
      </c>
      <c r="H178" s="629">
        <f t="shared" si="37"/>
        <v>76320</v>
      </c>
      <c r="I178" s="630">
        <f t="shared" si="37"/>
        <v>0</v>
      </c>
      <c r="J178" s="615"/>
      <c r="K178" s="616"/>
      <c r="L178" s="617"/>
      <c r="M178" s="618">
        <v>14123</v>
      </c>
      <c r="N178" s="616">
        <v>25000</v>
      </c>
      <c r="O178" s="619"/>
      <c r="P178" s="500"/>
      <c r="Q178" s="501"/>
      <c r="R178" s="502"/>
      <c r="S178" s="503"/>
      <c r="T178" s="501"/>
      <c r="U178" s="504"/>
      <c r="V178" s="615"/>
      <c r="W178" s="616"/>
      <c r="X178" s="617"/>
      <c r="Y178" s="505">
        <f t="shared" si="38"/>
        <v>14123</v>
      </c>
      <c r="Z178" s="506">
        <f t="shared" si="38"/>
        <v>25000</v>
      </c>
      <c r="AA178" s="507">
        <f t="shared" si="38"/>
        <v>0</v>
      </c>
      <c r="AB178" s="615"/>
      <c r="AC178" s="616"/>
      <c r="AD178" s="617"/>
      <c r="AE178" s="618"/>
      <c r="AF178" s="616"/>
      <c r="AG178" s="619"/>
      <c r="AH178" s="615">
        <f>15402+21891</f>
        <v>37293</v>
      </c>
      <c r="AI178" s="501">
        <v>7320</v>
      </c>
      <c r="AJ178" s="502"/>
      <c r="AK178" s="503"/>
      <c r="AL178" s="501"/>
      <c r="AM178" s="504"/>
      <c r="AN178" s="615">
        <f>16947+22328</f>
        <v>39275</v>
      </c>
      <c r="AO178" s="616">
        <v>24000</v>
      </c>
      <c r="AP178" s="617"/>
      <c r="AQ178" s="618">
        <f>1603+39237</f>
        <v>40840</v>
      </c>
      <c r="AR178" s="616"/>
      <c r="AS178" s="504"/>
      <c r="AT178" s="500"/>
      <c r="AU178" s="501"/>
      <c r="AV178" s="502"/>
      <c r="AW178" s="503"/>
      <c r="AX178" s="501"/>
      <c r="AY178" s="504"/>
      <c r="AZ178" s="500"/>
      <c r="BA178" s="501"/>
      <c r="BB178" s="502"/>
      <c r="BC178" s="503"/>
      <c r="BD178" s="501"/>
      <c r="BE178" s="504"/>
      <c r="BF178" s="615">
        <f>60049+8389</f>
        <v>68438</v>
      </c>
      <c r="BG178" s="616"/>
      <c r="BH178" s="617"/>
      <c r="BI178" s="618">
        <f>1186+11298</f>
        <v>12484</v>
      </c>
      <c r="BJ178" s="616">
        <v>20000</v>
      </c>
      <c r="BK178" s="619"/>
      <c r="BL178" s="615">
        <v>27072</v>
      </c>
      <c r="BM178" s="616"/>
      <c r="BN178" s="617"/>
      <c r="BO178" s="503"/>
      <c r="BP178" s="501"/>
      <c r="BQ178" s="504"/>
      <c r="BR178" s="513">
        <f t="shared" si="39"/>
        <v>239525</v>
      </c>
      <c r="BS178" s="514">
        <f t="shared" si="39"/>
        <v>76320</v>
      </c>
      <c r="BT178" s="515">
        <f t="shared" si="39"/>
        <v>0</v>
      </c>
      <c r="BU178" s="516"/>
      <c r="BV178" s="517"/>
      <c r="BW178" s="518"/>
    </row>
    <row r="179" spans="1:75" ht="24">
      <c r="A179" s="470" t="s">
        <v>49</v>
      </c>
      <c r="B179" s="471">
        <v>52</v>
      </c>
      <c r="C179" s="471" t="s">
        <v>32</v>
      </c>
      <c r="D179" s="521">
        <v>3211</v>
      </c>
      <c r="E179" s="522" t="s">
        <v>60</v>
      </c>
      <c r="F179" s="523" t="s">
        <v>687</v>
      </c>
      <c r="G179" s="628">
        <f t="shared" si="37"/>
        <v>592642</v>
      </c>
      <c r="H179" s="629">
        <f t="shared" si="37"/>
        <v>208677</v>
      </c>
      <c r="I179" s="630">
        <f t="shared" si="37"/>
        <v>0</v>
      </c>
      <c r="J179" s="615">
        <v>8474</v>
      </c>
      <c r="K179" s="616"/>
      <c r="L179" s="617"/>
      <c r="M179" s="618"/>
      <c r="N179" s="616"/>
      <c r="O179" s="619"/>
      <c r="P179" s="500"/>
      <c r="Q179" s="501"/>
      <c r="R179" s="502"/>
      <c r="S179" s="503"/>
      <c r="T179" s="501"/>
      <c r="U179" s="504"/>
      <c r="V179" s="615">
        <v>4858</v>
      </c>
      <c r="W179" s="616">
        <v>8600</v>
      </c>
      <c r="X179" s="617"/>
      <c r="Y179" s="505">
        <f t="shared" si="38"/>
        <v>13332</v>
      </c>
      <c r="Z179" s="506">
        <f t="shared" si="38"/>
        <v>8600</v>
      </c>
      <c r="AA179" s="507">
        <f t="shared" si="38"/>
        <v>0</v>
      </c>
      <c r="AB179" s="615"/>
      <c r="AC179" s="616"/>
      <c r="AD179" s="617"/>
      <c r="AE179" s="618">
        <f>2260+51301+17839</f>
        <v>71400</v>
      </c>
      <c r="AF179" s="616">
        <f>57720+94500</f>
        <v>152220</v>
      </c>
      <c r="AG179" s="619"/>
      <c r="AH179" s="615">
        <f>148953+37523</f>
        <v>186476</v>
      </c>
      <c r="AI179" s="501">
        <f>28068+19789</f>
        <v>47857</v>
      </c>
      <c r="AJ179" s="502"/>
      <c r="AK179" s="503"/>
      <c r="AL179" s="501"/>
      <c r="AM179" s="504"/>
      <c r="AN179" s="615">
        <f>22596+7626</f>
        <v>30222</v>
      </c>
      <c r="AO179" s="616"/>
      <c r="AP179" s="617"/>
      <c r="AQ179" s="618">
        <f>7728+84735</f>
        <v>92463</v>
      </c>
      <c r="AR179" s="616"/>
      <c r="AS179" s="504"/>
      <c r="AT179" s="500">
        <v>7486</v>
      </c>
      <c r="AU179" s="501"/>
      <c r="AV179" s="502"/>
      <c r="AW179" s="503"/>
      <c r="AX179" s="501"/>
      <c r="AY179" s="504"/>
      <c r="AZ179" s="500"/>
      <c r="BA179" s="501"/>
      <c r="BB179" s="502"/>
      <c r="BC179" s="503"/>
      <c r="BD179" s="501"/>
      <c r="BE179" s="504"/>
      <c r="BF179" s="615">
        <f>63312+48017</f>
        <v>111329</v>
      </c>
      <c r="BG179" s="616"/>
      <c r="BH179" s="617"/>
      <c r="BI179" s="618">
        <f>8474+71460</f>
        <v>79934</v>
      </c>
      <c r="BJ179" s="616"/>
      <c r="BK179" s="619"/>
      <c r="BL179" s="615"/>
      <c r="BM179" s="616"/>
      <c r="BN179" s="617"/>
      <c r="BO179" s="503"/>
      <c r="BP179" s="501"/>
      <c r="BQ179" s="504"/>
      <c r="BR179" s="513">
        <f t="shared" si="39"/>
        <v>592642</v>
      </c>
      <c r="BS179" s="514">
        <f t="shared" si="39"/>
        <v>208677</v>
      </c>
      <c r="BT179" s="515">
        <f t="shared" si="39"/>
        <v>0</v>
      </c>
      <c r="BU179" s="516"/>
      <c r="BV179" s="517"/>
      <c r="BW179" s="518"/>
    </row>
    <row r="180" spans="1:75" ht="36">
      <c r="A180" s="470" t="s">
        <v>49</v>
      </c>
      <c r="B180" s="471">
        <v>52</v>
      </c>
      <c r="C180" s="471" t="s">
        <v>32</v>
      </c>
      <c r="D180" s="521">
        <v>3212</v>
      </c>
      <c r="E180" s="522" t="s">
        <v>754</v>
      </c>
      <c r="F180" s="523" t="s">
        <v>687</v>
      </c>
      <c r="G180" s="628">
        <f t="shared" si="37"/>
        <v>4541</v>
      </c>
      <c r="H180" s="629">
        <f t="shared" si="37"/>
        <v>0</v>
      </c>
      <c r="I180" s="630">
        <f t="shared" si="37"/>
        <v>0</v>
      </c>
      <c r="J180" s="615"/>
      <c r="K180" s="616"/>
      <c r="L180" s="617"/>
      <c r="M180" s="618"/>
      <c r="N180" s="616"/>
      <c r="O180" s="619"/>
      <c r="P180" s="500"/>
      <c r="Q180" s="501"/>
      <c r="R180" s="502"/>
      <c r="S180" s="503"/>
      <c r="T180" s="501"/>
      <c r="U180" s="504"/>
      <c r="V180" s="615"/>
      <c r="W180" s="616"/>
      <c r="X180" s="617"/>
      <c r="Y180" s="505">
        <f t="shared" si="38"/>
        <v>0</v>
      </c>
      <c r="Z180" s="506">
        <f t="shared" si="38"/>
        <v>0</v>
      </c>
      <c r="AA180" s="507">
        <f t="shared" si="38"/>
        <v>0</v>
      </c>
      <c r="AB180" s="615"/>
      <c r="AC180" s="616"/>
      <c r="AD180" s="617"/>
      <c r="AE180" s="618"/>
      <c r="AF180" s="616"/>
      <c r="AG180" s="619"/>
      <c r="AH180" s="615"/>
      <c r="AI180" s="501"/>
      <c r="AJ180" s="502"/>
      <c r="AK180" s="503"/>
      <c r="AL180" s="501"/>
      <c r="AM180" s="504"/>
      <c r="AN180" s="615">
        <v>1694</v>
      </c>
      <c r="AO180" s="616"/>
      <c r="AP180" s="617"/>
      <c r="AQ180" s="618"/>
      <c r="AR180" s="616"/>
      <c r="AS180" s="504"/>
      <c r="AT180" s="500"/>
      <c r="AU180" s="501"/>
      <c r="AV180" s="502"/>
      <c r="AW180" s="503"/>
      <c r="AX180" s="501"/>
      <c r="AY180" s="504"/>
      <c r="AZ180" s="500"/>
      <c r="BA180" s="501"/>
      <c r="BB180" s="502"/>
      <c r="BC180" s="503"/>
      <c r="BD180" s="501"/>
      <c r="BE180" s="504"/>
      <c r="BF180" s="615"/>
      <c r="BG180" s="616"/>
      <c r="BH180" s="617"/>
      <c r="BI180" s="618"/>
      <c r="BJ180" s="616"/>
      <c r="BK180" s="619"/>
      <c r="BL180" s="615">
        <v>2847</v>
      </c>
      <c r="BM180" s="616"/>
      <c r="BN180" s="617"/>
      <c r="BO180" s="503"/>
      <c r="BP180" s="501"/>
      <c r="BQ180" s="504"/>
      <c r="BR180" s="513">
        <f t="shared" si="39"/>
        <v>4541</v>
      </c>
      <c r="BS180" s="514">
        <f t="shared" si="39"/>
        <v>0</v>
      </c>
      <c r="BT180" s="515">
        <f t="shared" si="39"/>
        <v>0</v>
      </c>
      <c r="BU180" s="516"/>
      <c r="BV180" s="517"/>
      <c r="BW180" s="518"/>
    </row>
    <row r="181" spans="1:75" ht="24">
      <c r="A181" s="470" t="s">
        <v>49</v>
      </c>
      <c r="B181" s="471">
        <v>52</v>
      </c>
      <c r="C181" s="471" t="s">
        <v>32</v>
      </c>
      <c r="D181" s="521">
        <v>3213</v>
      </c>
      <c r="E181" s="522" t="s">
        <v>64</v>
      </c>
      <c r="F181" s="523" t="s">
        <v>687</v>
      </c>
      <c r="G181" s="628">
        <f t="shared" si="37"/>
        <v>361615</v>
      </c>
      <c r="H181" s="629">
        <f t="shared" si="37"/>
        <v>50000</v>
      </c>
      <c r="I181" s="630">
        <f t="shared" si="37"/>
        <v>0</v>
      </c>
      <c r="J181" s="615"/>
      <c r="K181" s="616"/>
      <c r="L181" s="617"/>
      <c r="M181" s="618"/>
      <c r="N181" s="616"/>
      <c r="O181" s="619"/>
      <c r="P181" s="500"/>
      <c r="Q181" s="501"/>
      <c r="R181" s="502"/>
      <c r="S181" s="503"/>
      <c r="T181" s="501"/>
      <c r="U181" s="504"/>
      <c r="V181" s="615"/>
      <c r="W181" s="616"/>
      <c r="X181" s="617"/>
      <c r="Y181" s="505">
        <f t="shared" si="38"/>
        <v>0</v>
      </c>
      <c r="Z181" s="506">
        <f t="shared" si="38"/>
        <v>0</v>
      </c>
      <c r="AA181" s="507">
        <f t="shared" si="38"/>
        <v>0</v>
      </c>
      <c r="AB181" s="615"/>
      <c r="AC181" s="616"/>
      <c r="AD181" s="617"/>
      <c r="AE181" s="618">
        <v>28245</v>
      </c>
      <c r="AF181" s="616">
        <v>50000</v>
      </c>
      <c r="AG181" s="619"/>
      <c r="AH181" s="615">
        <v>50652</v>
      </c>
      <c r="AI181" s="501"/>
      <c r="AJ181" s="502"/>
      <c r="AK181" s="503"/>
      <c r="AL181" s="501"/>
      <c r="AM181" s="504"/>
      <c r="AN181" s="615">
        <f>1130+8474</f>
        <v>9604</v>
      </c>
      <c r="AO181" s="616"/>
      <c r="AP181" s="617"/>
      <c r="AQ181" s="618"/>
      <c r="AR181" s="616"/>
      <c r="AS181" s="504"/>
      <c r="AT181" s="500"/>
      <c r="AU181" s="501"/>
      <c r="AV181" s="502"/>
      <c r="AW181" s="503"/>
      <c r="AX181" s="501"/>
      <c r="AY181" s="504"/>
      <c r="AZ181" s="500"/>
      <c r="BA181" s="501"/>
      <c r="BB181" s="502"/>
      <c r="BC181" s="503"/>
      <c r="BD181" s="501"/>
      <c r="BE181" s="504"/>
      <c r="BF181" s="615">
        <v>55626</v>
      </c>
      <c r="BG181" s="616"/>
      <c r="BH181" s="617"/>
      <c r="BI181" s="618"/>
      <c r="BJ181" s="616"/>
      <c r="BK181" s="619"/>
      <c r="BL181" s="615">
        <v>217488</v>
      </c>
      <c r="BM181" s="616"/>
      <c r="BN181" s="617"/>
      <c r="BO181" s="503"/>
      <c r="BP181" s="501"/>
      <c r="BQ181" s="504"/>
      <c r="BR181" s="513">
        <f t="shared" si="39"/>
        <v>361615</v>
      </c>
      <c r="BS181" s="514">
        <f t="shared" si="39"/>
        <v>50000</v>
      </c>
      <c r="BT181" s="515">
        <f t="shared" si="39"/>
        <v>0</v>
      </c>
      <c r="BU181" s="516"/>
      <c r="BV181" s="517"/>
      <c r="BW181" s="518"/>
    </row>
    <row r="182" spans="1:75" ht="36">
      <c r="A182" s="470" t="s">
        <v>49</v>
      </c>
      <c r="B182" s="471">
        <v>52</v>
      </c>
      <c r="C182" s="471" t="s">
        <v>32</v>
      </c>
      <c r="D182" s="521">
        <v>3221</v>
      </c>
      <c r="E182" s="522" t="s">
        <v>65</v>
      </c>
      <c r="F182" s="523" t="s">
        <v>687</v>
      </c>
      <c r="G182" s="628">
        <f t="shared" si="37"/>
        <v>417153</v>
      </c>
      <c r="H182" s="629">
        <f t="shared" si="37"/>
        <v>15000</v>
      </c>
      <c r="I182" s="630">
        <f t="shared" si="37"/>
        <v>0</v>
      </c>
      <c r="J182" s="615">
        <v>4519</v>
      </c>
      <c r="K182" s="616"/>
      <c r="L182" s="617"/>
      <c r="M182" s="618"/>
      <c r="N182" s="616"/>
      <c r="O182" s="619"/>
      <c r="P182" s="500"/>
      <c r="Q182" s="501"/>
      <c r="R182" s="502"/>
      <c r="S182" s="503"/>
      <c r="T182" s="501"/>
      <c r="U182" s="504"/>
      <c r="V182" s="615">
        <v>8474</v>
      </c>
      <c r="W182" s="616">
        <v>15000</v>
      </c>
      <c r="X182" s="617"/>
      <c r="Y182" s="505">
        <f t="shared" si="38"/>
        <v>12993</v>
      </c>
      <c r="Z182" s="506">
        <f t="shared" si="38"/>
        <v>15000</v>
      </c>
      <c r="AA182" s="507">
        <f t="shared" si="38"/>
        <v>0</v>
      </c>
      <c r="AB182" s="615"/>
      <c r="AC182" s="616"/>
      <c r="AD182" s="617"/>
      <c r="AE182" s="618"/>
      <c r="AF182" s="616"/>
      <c r="AG182" s="619"/>
      <c r="AH182" s="615"/>
      <c r="AI182" s="501"/>
      <c r="AJ182" s="502"/>
      <c r="AK182" s="503"/>
      <c r="AL182" s="501"/>
      <c r="AM182" s="504"/>
      <c r="AN182" s="615">
        <v>2825</v>
      </c>
      <c r="AO182" s="616"/>
      <c r="AP182" s="617"/>
      <c r="AQ182" s="618"/>
      <c r="AR182" s="616"/>
      <c r="AS182" s="504"/>
      <c r="AT182" s="500"/>
      <c r="AU182" s="501"/>
      <c r="AV182" s="502"/>
      <c r="AW182" s="503"/>
      <c r="AX182" s="501"/>
      <c r="AY182" s="504"/>
      <c r="AZ182" s="500"/>
      <c r="BA182" s="501"/>
      <c r="BB182" s="502"/>
      <c r="BC182" s="503"/>
      <c r="BD182" s="501"/>
      <c r="BE182" s="504"/>
      <c r="BF182" s="615">
        <f>373090+28245</f>
        <v>401335</v>
      </c>
      <c r="BG182" s="616"/>
      <c r="BH182" s="617"/>
      <c r="BI182" s="618"/>
      <c r="BJ182" s="616"/>
      <c r="BK182" s="619"/>
      <c r="BL182" s="615"/>
      <c r="BM182" s="616"/>
      <c r="BN182" s="617"/>
      <c r="BO182" s="503"/>
      <c r="BP182" s="501"/>
      <c r="BQ182" s="504"/>
      <c r="BR182" s="513">
        <f t="shared" si="39"/>
        <v>417153</v>
      </c>
      <c r="BS182" s="514">
        <f t="shared" si="39"/>
        <v>15000</v>
      </c>
      <c r="BT182" s="515">
        <f t="shared" si="39"/>
        <v>0</v>
      </c>
      <c r="BU182" s="516"/>
      <c r="BV182" s="517"/>
      <c r="BW182" s="518"/>
    </row>
    <row r="183" spans="1:75" ht="24">
      <c r="A183" s="470" t="s">
        <v>49</v>
      </c>
      <c r="B183" s="471">
        <v>52</v>
      </c>
      <c r="C183" s="471" t="s">
        <v>32</v>
      </c>
      <c r="D183" s="521">
        <v>3222</v>
      </c>
      <c r="E183" s="522" t="s">
        <v>76</v>
      </c>
      <c r="F183" s="523" t="s">
        <v>687</v>
      </c>
      <c r="G183" s="628">
        <f t="shared" si="37"/>
        <v>349074</v>
      </c>
      <c r="H183" s="629">
        <f t="shared" si="37"/>
        <v>0</v>
      </c>
      <c r="I183" s="630">
        <f t="shared" si="37"/>
        <v>0</v>
      </c>
      <c r="J183" s="615"/>
      <c r="K183" s="616"/>
      <c r="L183" s="617"/>
      <c r="M183" s="618"/>
      <c r="N183" s="616"/>
      <c r="O183" s="619"/>
      <c r="P183" s="500"/>
      <c r="Q183" s="501"/>
      <c r="R183" s="502"/>
      <c r="S183" s="503"/>
      <c r="T183" s="501"/>
      <c r="U183" s="504"/>
      <c r="V183" s="615"/>
      <c r="W183" s="616"/>
      <c r="X183" s="617"/>
      <c r="Y183" s="505">
        <f t="shared" si="38"/>
        <v>0</v>
      </c>
      <c r="Z183" s="506">
        <f t="shared" si="38"/>
        <v>0</v>
      </c>
      <c r="AA183" s="507">
        <f t="shared" si="38"/>
        <v>0</v>
      </c>
      <c r="AB183" s="615"/>
      <c r="AC183" s="616"/>
      <c r="AD183" s="617"/>
      <c r="AE183" s="618"/>
      <c r="AF183" s="616"/>
      <c r="AG183" s="619"/>
      <c r="AH183" s="615">
        <f>326431+22643</f>
        <v>349074</v>
      </c>
      <c r="AI183" s="501"/>
      <c r="AJ183" s="502"/>
      <c r="AK183" s="503"/>
      <c r="AL183" s="501"/>
      <c r="AM183" s="504"/>
      <c r="AN183" s="615"/>
      <c r="AO183" s="616"/>
      <c r="AP183" s="617"/>
      <c r="AQ183" s="618"/>
      <c r="AR183" s="616"/>
      <c r="AS183" s="504"/>
      <c r="AT183" s="500"/>
      <c r="AU183" s="501"/>
      <c r="AV183" s="502"/>
      <c r="AW183" s="503"/>
      <c r="AX183" s="501"/>
      <c r="AY183" s="504"/>
      <c r="AZ183" s="500"/>
      <c r="BA183" s="501"/>
      <c r="BB183" s="502"/>
      <c r="BC183" s="503"/>
      <c r="BD183" s="501"/>
      <c r="BE183" s="504"/>
      <c r="BF183" s="615"/>
      <c r="BG183" s="616"/>
      <c r="BH183" s="617"/>
      <c r="BI183" s="618"/>
      <c r="BJ183" s="616"/>
      <c r="BK183" s="619"/>
      <c r="BL183" s="615"/>
      <c r="BM183" s="616"/>
      <c r="BN183" s="617"/>
      <c r="BO183" s="503"/>
      <c r="BP183" s="501"/>
      <c r="BQ183" s="504"/>
      <c r="BR183" s="513">
        <f t="shared" si="39"/>
        <v>349074</v>
      </c>
      <c r="BS183" s="514">
        <f t="shared" si="39"/>
        <v>0</v>
      </c>
      <c r="BT183" s="515">
        <f t="shared" si="39"/>
        <v>0</v>
      </c>
      <c r="BU183" s="516"/>
      <c r="BV183" s="517"/>
      <c r="BW183" s="518"/>
    </row>
    <row r="184" spans="1:75" ht="36">
      <c r="A184" s="470" t="s">
        <v>49</v>
      </c>
      <c r="B184" s="471">
        <v>52</v>
      </c>
      <c r="C184" s="471" t="s">
        <v>32</v>
      </c>
      <c r="D184" s="521">
        <v>3227</v>
      </c>
      <c r="E184" s="522" t="s">
        <v>89</v>
      </c>
      <c r="F184" s="523" t="s">
        <v>687</v>
      </c>
      <c r="G184" s="628">
        <f t="shared" si="37"/>
        <v>5649</v>
      </c>
      <c r="H184" s="629">
        <f t="shared" si="37"/>
        <v>157211</v>
      </c>
      <c r="I184" s="630">
        <f t="shared" si="37"/>
        <v>0</v>
      </c>
      <c r="J184" s="615"/>
      <c r="K184" s="616"/>
      <c r="L184" s="617"/>
      <c r="M184" s="618"/>
      <c r="N184" s="616"/>
      <c r="O184" s="619"/>
      <c r="P184" s="500"/>
      <c r="Q184" s="501"/>
      <c r="R184" s="502"/>
      <c r="S184" s="503"/>
      <c r="T184" s="501"/>
      <c r="U184" s="504"/>
      <c r="V184" s="615"/>
      <c r="W184" s="616"/>
      <c r="X184" s="617"/>
      <c r="Y184" s="505">
        <f t="shared" si="38"/>
        <v>0</v>
      </c>
      <c r="Z184" s="506">
        <f t="shared" si="38"/>
        <v>0</v>
      </c>
      <c r="AA184" s="507">
        <f t="shared" si="38"/>
        <v>0</v>
      </c>
      <c r="AB184" s="615"/>
      <c r="AC184" s="616"/>
      <c r="AD184" s="617"/>
      <c r="AE184" s="618"/>
      <c r="AF184" s="616"/>
      <c r="AG184" s="619"/>
      <c r="AH184" s="615">
        <v>5649</v>
      </c>
      <c r="AI184" s="501">
        <v>157211</v>
      </c>
      <c r="AJ184" s="502"/>
      <c r="AK184" s="503"/>
      <c r="AL184" s="501"/>
      <c r="AM184" s="504"/>
      <c r="AN184" s="615"/>
      <c r="AO184" s="616"/>
      <c r="AP184" s="617"/>
      <c r="AQ184" s="618"/>
      <c r="AR184" s="616"/>
      <c r="AS184" s="504"/>
      <c r="AT184" s="500"/>
      <c r="AU184" s="501"/>
      <c r="AV184" s="502"/>
      <c r="AW184" s="503"/>
      <c r="AX184" s="501"/>
      <c r="AY184" s="504"/>
      <c r="AZ184" s="500"/>
      <c r="BA184" s="501"/>
      <c r="BB184" s="502"/>
      <c r="BC184" s="503"/>
      <c r="BD184" s="501"/>
      <c r="BE184" s="504"/>
      <c r="BF184" s="615"/>
      <c r="BG184" s="616"/>
      <c r="BH184" s="617"/>
      <c r="BI184" s="618"/>
      <c r="BJ184" s="616"/>
      <c r="BK184" s="619"/>
      <c r="BL184" s="615"/>
      <c r="BM184" s="616"/>
      <c r="BN184" s="617"/>
      <c r="BO184" s="503"/>
      <c r="BP184" s="501"/>
      <c r="BQ184" s="504"/>
      <c r="BR184" s="513">
        <f t="shared" si="39"/>
        <v>5649</v>
      </c>
      <c r="BS184" s="514">
        <f t="shared" si="39"/>
        <v>157211</v>
      </c>
      <c r="BT184" s="515">
        <f t="shared" si="39"/>
        <v>0</v>
      </c>
      <c r="BU184" s="516"/>
      <c r="BV184" s="517"/>
      <c r="BW184" s="518"/>
    </row>
    <row r="185" spans="1:75" ht="36">
      <c r="A185" s="470" t="s">
        <v>49</v>
      </c>
      <c r="B185" s="471">
        <v>52</v>
      </c>
      <c r="C185" s="471" t="s">
        <v>32</v>
      </c>
      <c r="D185" s="521">
        <v>3232</v>
      </c>
      <c r="E185" s="522" t="s">
        <v>80</v>
      </c>
      <c r="F185" s="523" t="s">
        <v>687</v>
      </c>
      <c r="G185" s="628">
        <f t="shared" si="37"/>
        <v>66376</v>
      </c>
      <c r="H185" s="629">
        <f t="shared" si="37"/>
        <v>0</v>
      </c>
      <c r="I185" s="630">
        <f t="shared" si="37"/>
        <v>0</v>
      </c>
      <c r="J185" s="615"/>
      <c r="K185" s="616"/>
      <c r="L185" s="617"/>
      <c r="M185" s="618"/>
      <c r="N185" s="616"/>
      <c r="O185" s="619"/>
      <c r="P185" s="500"/>
      <c r="Q185" s="501"/>
      <c r="R185" s="502"/>
      <c r="S185" s="503"/>
      <c r="T185" s="501"/>
      <c r="U185" s="504"/>
      <c r="V185" s="615"/>
      <c r="W185" s="616"/>
      <c r="X185" s="617"/>
      <c r="Y185" s="505">
        <f t="shared" si="38"/>
        <v>0</v>
      </c>
      <c r="Z185" s="506">
        <f t="shared" si="38"/>
        <v>0</v>
      </c>
      <c r="AA185" s="507">
        <f t="shared" si="38"/>
        <v>0</v>
      </c>
      <c r="AB185" s="615"/>
      <c r="AC185" s="616"/>
      <c r="AD185" s="617"/>
      <c r="AE185" s="618"/>
      <c r="AF185" s="616"/>
      <c r="AG185" s="619"/>
      <c r="AH185" s="615">
        <v>21716</v>
      </c>
      <c r="AI185" s="501"/>
      <c r="AJ185" s="502"/>
      <c r="AK185" s="503"/>
      <c r="AL185" s="501"/>
      <c r="AM185" s="504"/>
      <c r="AN185" s="615"/>
      <c r="AO185" s="616"/>
      <c r="AP185" s="617"/>
      <c r="AQ185" s="618"/>
      <c r="AR185" s="616"/>
      <c r="AS185" s="504"/>
      <c r="AT185" s="500"/>
      <c r="AU185" s="501"/>
      <c r="AV185" s="502"/>
      <c r="AW185" s="503"/>
      <c r="AX185" s="501"/>
      <c r="AY185" s="504"/>
      <c r="AZ185" s="500"/>
      <c r="BA185" s="501"/>
      <c r="BB185" s="502"/>
      <c r="BC185" s="503"/>
      <c r="BD185" s="501"/>
      <c r="BE185" s="504"/>
      <c r="BF185" s="615">
        <v>44660</v>
      </c>
      <c r="BG185" s="616"/>
      <c r="BH185" s="617"/>
      <c r="BI185" s="618"/>
      <c r="BJ185" s="616"/>
      <c r="BK185" s="619"/>
      <c r="BL185" s="615"/>
      <c r="BM185" s="616"/>
      <c r="BN185" s="617"/>
      <c r="BO185" s="503"/>
      <c r="BP185" s="501"/>
      <c r="BQ185" s="504"/>
      <c r="BR185" s="513">
        <f t="shared" si="39"/>
        <v>66376</v>
      </c>
      <c r="BS185" s="514">
        <f t="shared" si="39"/>
        <v>0</v>
      </c>
      <c r="BT185" s="515">
        <f t="shared" si="39"/>
        <v>0</v>
      </c>
      <c r="BU185" s="516"/>
      <c r="BV185" s="517"/>
      <c r="BW185" s="518"/>
    </row>
    <row r="186" spans="1:75" ht="24">
      <c r="A186" s="470" t="s">
        <v>49</v>
      </c>
      <c r="B186" s="471">
        <v>52</v>
      </c>
      <c r="C186" s="471" t="s">
        <v>32</v>
      </c>
      <c r="D186" s="521">
        <v>3233</v>
      </c>
      <c r="E186" s="522" t="s">
        <v>81</v>
      </c>
      <c r="F186" s="523" t="s">
        <v>687</v>
      </c>
      <c r="G186" s="628">
        <f t="shared" si="37"/>
        <v>19772</v>
      </c>
      <c r="H186" s="629">
        <f t="shared" si="37"/>
        <v>3600</v>
      </c>
      <c r="I186" s="630">
        <f t="shared" si="37"/>
        <v>0</v>
      </c>
      <c r="J186" s="615">
        <v>14123</v>
      </c>
      <c r="K186" s="616"/>
      <c r="L186" s="617"/>
      <c r="M186" s="618"/>
      <c r="N186" s="616"/>
      <c r="O186" s="619"/>
      <c r="P186" s="500"/>
      <c r="Q186" s="501"/>
      <c r="R186" s="502"/>
      <c r="S186" s="503"/>
      <c r="T186" s="501"/>
      <c r="U186" s="504"/>
      <c r="V186" s="615"/>
      <c r="W186" s="616"/>
      <c r="X186" s="617"/>
      <c r="Y186" s="505">
        <f t="shared" si="38"/>
        <v>14123</v>
      </c>
      <c r="Z186" s="506">
        <f t="shared" si="38"/>
        <v>0</v>
      </c>
      <c r="AA186" s="507">
        <f t="shared" si="38"/>
        <v>0</v>
      </c>
      <c r="AB186" s="615"/>
      <c r="AC186" s="616"/>
      <c r="AD186" s="617"/>
      <c r="AE186" s="618"/>
      <c r="AF186" s="616">
        <v>3600</v>
      </c>
      <c r="AG186" s="619"/>
      <c r="AH186" s="615"/>
      <c r="AI186" s="501"/>
      <c r="AJ186" s="502"/>
      <c r="AK186" s="503"/>
      <c r="AL186" s="501"/>
      <c r="AM186" s="504"/>
      <c r="AN186" s="615"/>
      <c r="AO186" s="616"/>
      <c r="AP186" s="617"/>
      <c r="AQ186" s="618"/>
      <c r="AR186" s="616"/>
      <c r="AS186" s="504"/>
      <c r="AT186" s="500"/>
      <c r="AU186" s="501"/>
      <c r="AV186" s="502"/>
      <c r="AW186" s="503"/>
      <c r="AX186" s="501"/>
      <c r="AY186" s="504"/>
      <c r="AZ186" s="500"/>
      <c r="BA186" s="501"/>
      <c r="BB186" s="502"/>
      <c r="BC186" s="503"/>
      <c r="BD186" s="501"/>
      <c r="BE186" s="504"/>
      <c r="BF186" s="615"/>
      <c r="BG186" s="616"/>
      <c r="BH186" s="617"/>
      <c r="BI186" s="618">
        <v>5649</v>
      </c>
      <c r="BJ186" s="616"/>
      <c r="BK186" s="619"/>
      <c r="BL186" s="615"/>
      <c r="BM186" s="616"/>
      <c r="BN186" s="617"/>
      <c r="BO186" s="503"/>
      <c r="BP186" s="501"/>
      <c r="BQ186" s="504"/>
      <c r="BR186" s="513">
        <f t="shared" si="39"/>
        <v>19772</v>
      </c>
      <c r="BS186" s="514">
        <f t="shared" si="39"/>
        <v>3600</v>
      </c>
      <c r="BT186" s="515">
        <f t="shared" si="39"/>
        <v>0</v>
      </c>
      <c r="BU186" s="516"/>
      <c r="BV186" s="517"/>
      <c r="BW186" s="518"/>
    </row>
    <row r="187" spans="1:75" ht="24">
      <c r="A187" s="470" t="s">
        <v>49</v>
      </c>
      <c r="B187" s="471">
        <v>52</v>
      </c>
      <c r="C187" s="471" t="s">
        <v>32</v>
      </c>
      <c r="D187" s="521">
        <v>3237</v>
      </c>
      <c r="E187" s="522" t="s">
        <v>62</v>
      </c>
      <c r="F187" s="523" t="s">
        <v>687</v>
      </c>
      <c r="G187" s="628">
        <f t="shared" si="37"/>
        <v>932897</v>
      </c>
      <c r="H187" s="629">
        <f t="shared" si="37"/>
        <v>528446</v>
      </c>
      <c r="I187" s="630">
        <f t="shared" si="37"/>
        <v>15000</v>
      </c>
      <c r="J187" s="615">
        <v>116935</v>
      </c>
      <c r="K187" s="616"/>
      <c r="L187" s="617"/>
      <c r="M187" s="618"/>
      <c r="N187" s="616"/>
      <c r="O187" s="619"/>
      <c r="P187" s="500"/>
      <c r="Q187" s="501"/>
      <c r="R187" s="502"/>
      <c r="S187" s="503"/>
      <c r="T187" s="501"/>
      <c r="U187" s="504"/>
      <c r="V187" s="615">
        <v>4519</v>
      </c>
      <c r="W187" s="616">
        <v>8000</v>
      </c>
      <c r="X187" s="617"/>
      <c r="Y187" s="505">
        <f t="shared" si="38"/>
        <v>121454</v>
      </c>
      <c r="Z187" s="506">
        <f t="shared" si="38"/>
        <v>8000</v>
      </c>
      <c r="AA187" s="507">
        <f t="shared" si="38"/>
        <v>0</v>
      </c>
      <c r="AB187" s="615"/>
      <c r="AC187" s="616"/>
      <c r="AD187" s="617"/>
      <c r="AE187" s="618">
        <f>241227+56490</f>
        <v>297717</v>
      </c>
      <c r="AF187" s="616">
        <f>341001+164000</f>
        <v>505001</v>
      </c>
      <c r="AG187" s="619">
        <v>15000</v>
      </c>
      <c r="AH187" s="615">
        <f>190890</f>
        <v>190890</v>
      </c>
      <c r="AI187" s="501">
        <v>15445</v>
      </c>
      <c r="AJ187" s="502"/>
      <c r="AK187" s="503"/>
      <c r="AL187" s="501"/>
      <c r="AM187" s="504"/>
      <c r="AN187" s="615"/>
      <c r="AO187" s="616"/>
      <c r="AP187" s="617"/>
      <c r="AQ187" s="618"/>
      <c r="AR187" s="616"/>
      <c r="AS187" s="504"/>
      <c r="AT187" s="500"/>
      <c r="AU187" s="501"/>
      <c r="AV187" s="502"/>
      <c r="AW187" s="503"/>
      <c r="AX187" s="501"/>
      <c r="AY187" s="504"/>
      <c r="AZ187" s="500"/>
      <c r="BA187" s="501"/>
      <c r="BB187" s="502"/>
      <c r="BC187" s="503"/>
      <c r="BD187" s="501"/>
      <c r="BE187" s="504"/>
      <c r="BF187" s="615">
        <v>209856</v>
      </c>
      <c r="BG187" s="616"/>
      <c r="BH187" s="617"/>
      <c r="BI187" s="618"/>
      <c r="BJ187" s="616"/>
      <c r="BK187" s="619"/>
      <c r="BL187" s="615">
        <v>112980</v>
      </c>
      <c r="BM187" s="616"/>
      <c r="BN187" s="617"/>
      <c r="BO187" s="503"/>
      <c r="BP187" s="501"/>
      <c r="BQ187" s="504"/>
      <c r="BR187" s="513">
        <f t="shared" si="39"/>
        <v>932897</v>
      </c>
      <c r="BS187" s="514">
        <f t="shared" si="39"/>
        <v>528446</v>
      </c>
      <c r="BT187" s="515">
        <f t="shared" si="39"/>
        <v>15000</v>
      </c>
      <c r="BU187" s="516"/>
      <c r="BV187" s="517"/>
      <c r="BW187" s="518"/>
    </row>
    <row r="188" spans="1:75" ht="24">
      <c r="A188" s="470" t="s">
        <v>49</v>
      </c>
      <c r="B188" s="471">
        <v>52</v>
      </c>
      <c r="C188" s="471" t="s">
        <v>32</v>
      </c>
      <c r="D188" s="521">
        <v>3238</v>
      </c>
      <c r="E188" s="522" t="s">
        <v>82</v>
      </c>
      <c r="F188" s="523" t="s">
        <v>687</v>
      </c>
      <c r="G188" s="628">
        <f t="shared" si="37"/>
        <v>4519</v>
      </c>
      <c r="H188" s="629">
        <f t="shared" si="37"/>
        <v>0</v>
      </c>
      <c r="I188" s="630">
        <f t="shared" si="37"/>
        <v>0</v>
      </c>
      <c r="J188" s="615"/>
      <c r="K188" s="616"/>
      <c r="L188" s="617"/>
      <c r="M188" s="618"/>
      <c r="N188" s="616"/>
      <c r="O188" s="619"/>
      <c r="P188" s="500"/>
      <c r="Q188" s="501"/>
      <c r="R188" s="502"/>
      <c r="S188" s="503"/>
      <c r="T188" s="501"/>
      <c r="U188" s="504"/>
      <c r="V188" s="615"/>
      <c r="W188" s="616"/>
      <c r="X188" s="617"/>
      <c r="Y188" s="505">
        <f t="shared" si="38"/>
        <v>0</v>
      </c>
      <c r="Z188" s="506">
        <f t="shared" si="38"/>
        <v>0</v>
      </c>
      <c r="AA188" s="507">
        <f t="shared" si="38"/>
        <v>0</v>
      </c>
      <c r="AB188" s="615"/>
      <c r="AC188" s="616"/>
      <c r="AD188" s="617"/>
      <c r="AE188" s="618"/>
      <c r="AF188" s="616"/>
      <c r="AG188" s="619"/>
      <c r="AH188" s="615"/>
      <c r="AI188" s="501"/>
      <c r="AJ188" s="502"/>
      <c r="AK188" s="503"/>
      <c r="AL188" s="501"/>
      <c r="AM188" s="504"/>
      <c r="AN188" s="615">
        <v>4519</v>
      </c>
      <c r="AO188" s="616"/>
      <c r="AP188" s="617"/>
      <c r="AQ188" s="618"/>
      <c r="AR188" s="616"/>
      <c r="AS188" s="504"/>
      <c r="AT188" s="500"/>
      <c r="AU188" s="501"/>
      <c r="AV188" s="502"/>
      <c r="AW188" s="503"/>
      <c r="AX188" s="501"/>
      <c r="AY188" s="504"/>
      <c r="AZ188" s="500"/>
      <c r="BA188" s="501"/>
      <c r="BB188" s="502"/>
      <c r="BC188" s="503"/>
      <c r="BD188" s="501"/>
      <c r="BE188" s="504"/>
      <c r="BF188" s="615"/>
      <c r="BG188" s="616"/>
      <c r="BH188" s="617"/>
      <c r="BI188" s="618"/>
      <c r="BJ188" s="616"/>
      <c r="BK188" s="619"/>
      <c r="BL188" s="615"/>
      <c r="BM188" s="616"/>
      <c r="BN188" s="617"/>
      <c r="BO188" s="503"/>
      <c r="BP188" s="501"/>
      <c r="BQ188" s="504"/>
      <c r="BR188" s="513">
        <f t="shared" si="39"/>
        <v>4519</v>
      </c>
      <c r="BS188" s="514">
        <f t="shared" si="39"/>
        <v>0</v>
      </c>
      <c r="BT188" s="515">
        <f t="shared" si="39"/>
        <v>0</v>
      </c>
      <c r="BU188" s="516"/>
      <c r="BV188" s="517"/>
      <c r="BW188" s="518"/>
    </row>
    <row r="189" spans="1:75" ht="24">
      <c r="A189" s="470" t="s">
        <v>49</v>
      </c>
      <c r="B189" s="471">
        <v>52</v>
      </c>
      <c r="C189" s="471" t="s">
        <v>32</v>
      </c>
      <c r="D189" s="521">
        <v>3239</v>
      </c>
      <c r="E189" s="522" t="s">
        <v>66</v>
      </c>
      <c r="F189" s="523" t="s">
        <v>687</v>
      </c>
      <c r="G189" s="628">
        <f t="shared" si="37"/>
        <v>252470</v>
      </c>
      <c r="H189" s="629">
        <f t="shared" si="37"/>
        <v>46000</v>
      </c>
      <c r="I189" s="630">
        <f t="shared" si="37"/>
        <v>10500</v>
      </c>
      <c r="J189" s="615">
        <v>16947</v>
      </c>
      <c r="K189" s="616"/>
      <c r="L189" s="617"/>
      <c r="M189" s="618"/>
      <c r="N189" s="616"/>
      <c r="O189" s="619"/>
      <c r="P189" s="500"/>
      <c r="Q189" s="501"/>
      <c r="R189" s="502"/>
      <c r="S189" s="503"/>
      <c r="T189" s="501"/>
      <c r="U189" s="504"/>
      <c r="V189" s="615"/>
      <c r="W189" s="616"/>
      <c r="X189" s="617"/>
      <c r="Y189" s="505">
        <f t="shared" si="38"/>
        <v>16947</v>
      </c>
      <c r="Z189" s="506">
        <f t="shared" si="38"/>
        <v>0</v>
      </c>
      <c r="AA189" s="507">
        <f t="shared" si="38"/>
        <v>0</v>
      </c>
      <c r="AB189" s="615"/>
      <c r="AC189" s="616"/>
      <c r="AD189" s="617"/>
      <c r="AE189" s="618">
        <v>11016</v>
      </c>
      <c r="AF189" s="616">
        <v>8000</v>
      </c>
      <c r="AG189" s="619"/>
      <c r="AH189" s="615">
        <f>208633+4011</f>
        <v>212644</v>
      </c>
      <c r="AI189" s="501">
        <v>28000</v>
      </c>
      <c r="AJ189" s="502">
        <v>10500</v>
      </c>
      <c r="AK189" s="503"/>
      <c r="AL189" s="501"/>
      <c r="AM189" s="504"/>
      <c r="AN189" s="615">
        <v>565</v>
      </c>
      <c r="AO189" s="616"/>
      <c r="AP189" s="617"/>
      <c r="AQ189" s="618"/>
      <c r="AR189" s="616"/>
      <c r="AS189" s="504"/>
      <c r="AT189" s="500"/>
      <c r="AU189" s="501"/>
      <c r="AV189" s="502"/>
      <c r="AW189" s="503"/>
      <c r="AX189" s="501"/>
      <c r="AY189" s="504"/>
      <c r="AZ189" s="500"/>
      <c r="BA189" s="501"/>
      <c r="BB189" s="502"/>
      <c r="BC189" s="503"/>
      <c r="BD189" s="501"/>
      <c r="BE189" s="504"/>
      <c r="BF189" s="615"/>
      <c r="BG189" s="616"/>
      <c r="BH189" s="617"/>
      <c r="BI189" s="618">
        <v>11298</v>
      </c>
      <c r="BJ189" s="616">
        <v>10000</v>
      </c>
      <c r="BK189" s="619"/>
      <c r="BL189" s="615"/>
      <c r="BM189" s="616"/>
      <c r="BN189" s="617"/>
      <c r="BO189" s="503"/>
      <c r="BP189" s="501"/>
      <c r="BQ189" s="504"/>
      <c r="BR189" s="513">
        <f t="shared" si="39"/>
        <v>252470</v>
      </c>
      <c r="BS189" s="514">
        <f t="shared" si="39"/>
        <v>46000</v>
      </c>
      <c r="BT189" s="515">
        <f t="shared" si="39"/>
        <v>10500</v>
      </c>
      <c r="BU189" s="516"/>
      <c r="BV189" s="517"/>
      <c r="BW189" s="518"/>
    </row>
    <row r="190" spans="1:75" ht="36">
      <c r="A190" s="470" t="s">
        <v>49</v>
      </c>
      <c r="B190" s="471">
        <v>52</v>
      </c>
      <c r="C190" s="471" t="s">
        <v>32</v>
      </c>
      <c r="D190" s="521">
        <v>3241</v>
      </c>
      <c r="E190" s="522" t="s">
        <v>67</v>
      </c>
      <c r="F190" s="523" t="s">
        <v>687</v>
      </c>
      <c r="G190" s="628">
        <f t="shared" si="37"/>
        <v>54344</v>
      </c>
      <c r="H190" s="629">
        <f t="shared" si="37"/>
        <v>0</v>
      </c>
      <c r="I190" s="630">
        <f t="shared" si="37"/>
        <v>0</v>
      </c>
      <c r="J190" s="615">
        <v>25421</v>
      </c>
      <c r="K190" s="616"/>
      <c r="L190" s="617"/>
      <c r="M190" s="618"/>
      <c r="N190" s="616"/>
      <c r="O190" s="619"/>
      <c r="P190" s="500"/>
      <c r="Q190" s="501"/>
      <c r="R190" s="502"/>
      <c r="S190" s="503"/>
      <c r="T190" s="501"/>
      <c r="U190" s="504"/>
      <c r="V190" s="615"/>
      <c r="W190" s="616"/>
      <c r="X190" s="617"/>
      <c r="Y190" s="505">
        <f t="shared" si="38"/>
        <v>25421</v>
      </c>
      <c r="Z190" s="506">
        <f t="shared" si="38"/>
        <v>0</v>
      </c>
      <c r="AA190" s="507">
        <f t="shared" si="38"/>
        <v>0</v>
      </c>
      <c r="AB190" s="615"/>
      <c r="AC190" s="616"/>
      <c r="AD190" s="617"/>
      <c r="AE190" s="618"/>
      <c r="AF190" s="616"/>
      <c r="AG190" s="619"/>
      <c r="AH190" s="615"/>
      <c r="AI190" s="501"/>
      <c r="AJ190" s="502"/>
      <c r="AK190" s="503"/>
      <c r="AL190" s="501"/>
      <c r="AM190" s="504"/>
      <c r="AN190" s="615"/>
      <c r="AO190" s="616"/>
      <c r="AP190" s="617"/>
      <c r="AQ190" s="618"/>
      <c r="AR190" s="616"/>
      <c r="AS190" s="504"/>
      <c r="AT190" s="500"/>
      <c r="AU190" s="501"/>
      <c r="AV190" s="502"/>
      <c r="AW190" s="503"/>
      <c r="AX190" s="501"/>
      <c r="AY190" s="504"/>
      <c r="AZ190" s="500"/>
      <c r="BA190" s="501"/>
      <c r="BB190" s="502"/>
      <c r="BC190" s="503"/>
      <c r="BD190" s="501"/>
      <c r="BE190" s="504"/>
      <c r="BF190" s="615">
        <v>28923</v>
      </c>
      <c r="BG190" s="616"/>
      <c r="BH190" s="617"/>
      <c r="BI190" s="618"/>
      <c r="BJ190" s="616"/>
      <c r="BK190" s="619"/>
      <c r="BL190" s="615"/>
      <c r="BM190" s="616"/>
      <c r="BN190" s="617"/>
      <c r="BO190" s="503"/>
      <c r="BP190" s="501"/>
      <c r="BQ190" s="504"/>
      <c r="BR190" s="513">
        <f t="shared" si="39"/>
        <v>54344</v>
      </c>
      <c r="BS190" s="514">
        <f t="shared" si="39"/>
        <v>0</v>
      </c>
      <c r="BT190" s="515">
        <f t="shared" si="39"/>
        <v>0</v>
      </c>
      <c r="BU190" s="516"/>
      <c r="BV190" s="517"/>
      <c r="BW190" s="518"/>
    </row>
    <row r="191" spans="1:75" ht="24">
      <c r="A191" s="470" t="s">
        <v>49</v>
      </c>
      <c r="B191" s="471">
        <v>52</v>
      </c>
      <c r="C191" s="471" t="s">
        <v>32</v>
      </c>
      <c r="D191" s="521">
        <v>3293</v>
      </c>
      <c r="E191" s="522" t="s">
        <v>68</v>
      </c>
      <c r="F191" s="523" t="s">
        <v>687</v>
      </c>
      <c r="G191" s="628">
        <f t="shared" si="37"/>
        <v>52112</v>
      </c>
      <c r="H191" s="629">
        <f t="shared" si="37"/>
        <v>13000</v>
      </c>
      <c r="I191" s="630">
        <f t="shared" si="37"/>
        <v>0</v>
      </c>
      <c r="J191" s="615">
        <v>8472</v>
      </c>
      <c r="K191" s="616"/>
      <c r="L191" s="617"/>
      <c r="M191" s="618"/>
      <c r="N191" s="616"/>
      <c r="O191" s="619"/>
      <c r="P191" s="500"/>
      <c r="Q191" s="501"/>
      <c r="R191" s="502"/>
      <c r="S191" s="503"/>
      <c r="T191" s="501"/>
      <c r="U191" s="504"/>
      <c r="V191" s="615">
        <v>2825</v>
      </c>
      <c r="W191" s="616">
        <v>5000</v>
      </c>
      <c r="X191" s="617"/>
      <c r="Y191" s="505">
        <f t="shared" si="38"/>
        <v>11297</v>
      </c>
      <c r="Z191" s="506">
        <f t="shared" si="38"/>
        <v>5000</v>
      </c>
      <c r="AA191" s="507">
        <f t="shared" si="38"/>
        <v>0</v>
      </c>
      <c r="AB191" s="615"/>
      <c r="AC191" s="616"/>
      <c r="AD191" s="617"/>
      <c r="AE191" s="618">
        <v>12569</v>
      </c>
      <c r="AF191" s="616">
        <v>8000</v>
      </c>
      <c r="AG191" s="619"/>
      <c r="AH191" s="615"/>
      <c r="AI191" s="501"/>
      <c r="AJ191" s="502"/>
      <c r="AK191" s="503"/>
      <c r="AL191" s="501"/>
      <c r="AM191" s="504"/>
      <c r="AN191" s="615">
        <v>2825</v>
      </c>
      <c r="AO191" s="616"/>
      <c r="AP191" s="617"/>
      <c r="AQ191" s="618"/>
      <c r="AR191" s="616"/>
      <c r="AS191" s="504"/>
      <c r="AT191" s="500"/>
      <c r="AU191" s="501"/>
      <c r="AV191" s="502"/>
      <c r="AW191" s="503"/>
      <c r="AX191" s="501"/>
      <c r="AY191" s="504"/>
      <c r="AZ191" s="500"/>
      <c r="BA191" s="501"/>
      <c r="BB191" s="502"/>
      <c r="BC191" s="503"/>
      <c r="BD191" s="501"/>
      <c r="BE191" s="504"/>
      <c r="BF191" s="615"/>
      <c r="BG191" s="616"/>
      <c r="BH191" s="617"/>
      <c r="BI191" s="618">
        <v>25421</v>
      </c>
      <c r="BJ191" s="616"/>
      <c r="BK191" s="619"/>
      <c r="BL191" s="615"/>
      <c r="BM191" s="616"/>
      <c r="BN191" s="617"/>
      <c r="BO191" s="503"/>
      <c r="BP191" s="501"/>
      <c r="BQ191" s="504"/>
      <c r="BR191" s="513">
        <f t="shared" si="39"/>
        <v>52112</v>
      </c>
      <c r="BS191" s="514">
        <f t="shared" si="39"/>
        <v>13000</v>
      </c>
      <c r="BT191" s="515">
        <f t="shared" si="39"/>
        <v>0</v>
      </c>
      <c r="BU191" s="516"/>
      <c r="BV191" s="517"/>
      <c r="BW191" s="518"/>
    </row>
    <row r="192" spans="1:75" ht="24">
      <c r="A192" s="470" t="s">
        <v>49</v>
      </c>
      <c r="B192" s="471">
        <v>52</v>
      </c>
      <c r="C192" s="471" t="s">
        <v>32</v>
      </c>
      <c r="D192" s="521">
        <v>3299</v>
      </c>
      <c r="E192" s="522" t="s">
        <v>57</v>
      </c>
      <c r="F192" s="523" t="s">
        <v>687</v>
      </c>
      <c r="G192" s="628">
        <f t="shared" si="37"/>
        <v>524230</v>
      </c>
      <c r="H192" s="629">
        <f t="shared" si="37"/>
        <v>361345</v>
      </c>
      <c r="I192" s="630">
        <f t="shared" si="37"/>
        <v>0</v>
      </c>
      <c r="J192" s="615">
        <v>224831</v>
      </c>
      <c r="K192" s="616"/>
      <c r="L192" s="617"/>
      <c r="M192" s="618"/>
      <c r="N192" s="616"/>
      <c r="O192" s="619"/>
      <c r="P192" s="500"/>
      <c r="Q192" s="501"/>
      <c r="R192" s="502"/>
      <c r="S192" s="503"/>
      <c r="T192" s="501"/>
      <c r="U192" s="504"/>
      <c r="V192" s="615">
        <v>299399</v>
      </c>
      <c r="W192" s="616">
        <v>361345</v>
      </c>
      <c r="X192" s="617"/>
      <c r="Y192" s="505">
        <f t="shared" si="38"/>
        <v>524230</v>
      </c>
      <c r="Z192" s="506">
        <f t="shared" si="38"/>
        <v>361345</v>
      </c>
      <c r="AA192" s="507">
        <f t="shared" si="38"/>
        <v>0</v>
      </c>
      <c r="AB192" s="615"/>
      <c r="AC192" s="616"/>
      <c r="AD192" s="617"/>
      <c r="AE192" s="618"/>
      <c r="AF192" s="616"/>
      <c r="AG192" s="619"/>
      <c r="AH192" s="615"/>
      <c r="AI192" s="501"/>
      <c r="AJ192" s="502"/>
      <c r="AK192" s="503"/>
      <c r="AL192" s="501"/>
      <c r="AM192" s="504"/>
      <c r="AN192" s="615"/>
      <c r="AO192" s="616"/>
      <c r="AP192" s="617"/>
      <c r="AQ192" s="618"/>
      <c r="AR192" s="616"/>
      <c r="AS192" s="504"/>
      <c r="AT192" s="500"/>
      <c r="AU192" s="501"/>
      <c r="AV192" s="502"/>
      <c r="AW192" s="503"/>
      <c r="AX192" s="501"/>
      <c r="AY192" s="504"/>
      <c r="AZ192" s="500"/>
      <c r="BA192" s="501"/>
      <c r="BB192" s="502"/>
      <c r="BC192" s="503"/>
      <c r="BD192" s="501"/>
      <c r="BE192" s="504"/>
      <c r="BF192" s="615"/>
      <c r="BG192" s="616"/>
      <c r="BH192" s="617"/>
      <c r="BI192" s="618"/>
      <c r="BJ192" s="616"/>
      <c r="BK192" s="619"/>
      <c r="BL192" s="615"/>
      <c r="BM192" s="616"/>
      <c r="BN192" s="617"/>
      <c r="BO192" s="503"/>
      <c r="BP192" s="501"/>
      <c r="BQ192" s="504"/>
      <c r="BR192" s="513">
        <f t="shared" si="39"/>
        <v>524230</v>
      </c>
      <c r="BS192" s="514">
        <f t="shared" si="39"/>
        <v>361345</v>
      </c>
      <c r="BT192" s="515">
        <f t="shared" si="39"/>
        <v>0</v>
      </c>
      <c r="BU192" s="516"/>
      <c r="BV192" s="517"/>
      <c r="BW192" s="518"/>
    </row>
    <row r="193" spans="1:75" ht="48">
      <c r="A193" s="470" t="s">
        <v>49</v>
      </c>
      <c r="B193" s="471">
        <v>52</v>
      </c>
      <c r="C193" s="471" t="s">
        <v>32</v>
      </c>
      <c r="D193" s="521">
        <v>3691</v>
      </c>
      <c r="E193" s="522" t="s">
        <v>811</v>
      </c>
      <c r="F193" s="523" t="s">
        <v>687</v>
      </c>
      <c r="G193" s="628">
        <f t="shared" si="37"/>
        <v>3502</v>
      </c>
      <c r="H193" s="629">
        <f t="shared" si="37"/>
        <v>291000</v>
      </c>
      <c r="I193" s="630">
        <f t="shared" si="37"/>
        <v>0</v>
      </c>
      <c r="J193" s="615"/>
      <c r="K193" s="616"/>
      <c r="L193" s="617"/>
      <c r="M193" s="618"/>
      <c r="N193" s="616"/>
      <c r="O193" s="619"/>
      <c r="P193" s="500"/>
      <c r="Q193" s="501"/>
      <c r="R193" s="502"/>
      <c r="S193" s="503"/>
      <c r="T193" s="501"/>
      <c r="U193" s="504"/>
      <c r="V193" s="615"/>
      <c r="W193" s="616"/>
      <c r="X193" s="617"/>
      <c r="Y193" s="505">
        <f t="shared" si="38"/>
        <v>0</v>
      </c>
      <c r="Z193" s="506">
        <f t="shared" si="38"/>
        <v>0</v>
      </c>
      <c r="AA193" s="507">
        <f t="shared" si="38"/>
        <v>0</v>
      </c>
      <c r="AB193" s="615"/>
      <c r="AC193" s="616"/>
      <c r="AD193" s="617"/>
      <c r="AE193" s="618"/>
      <c r="AF193" s="616"/>
      <c r="AG193" s="619"/>
      <c r="AH193" s="615"/>
      <c r="AI193" s="501"/>
      <c r="AJ193" s="502"/>
      <c r="AK193" s="503"/>
      <c r="AL193" s="501"/>
      <c r="AM193" s="504"/>
      <c r="AN193" s="615"/>
      <c r="AO193" s="616"/>
      <c r="AP193" s="617"/>
      <c r="AQ193" s="618">
        <v>3502</v>
      </c>
      <c r="AR193" s="616"/>
      <c r="AS193" s="504"/>
      <c r="AT193" s="500"/>
      <c r="AU193" s="501"/>
      <c r="AV193" s="502"/>
      <c r="AW193" s="503"/>
      <c r="AX193" s="501"/>
      <c r="AY193" s="504"/>
      <c r="AZ193" s="500"/>
      <c r="BA193" s="501"/>
      <c r="BB193" s="502"/>
      <c r="BC193" s="503"/>
      <c r="BD193" s="501"/>
      <c r="BE193" s="504"/>
      <c r="BF193" s="615"/>
      <c r="BG193" s="616"/>
      <c r="BH193" s="617"/>
      <c r="BI193" s="618"/>
      <c r="BJ193" s="616">
        <v>291000</v>
      </c>
      <c r="BK193" s="619"/>
      <c r="BL193" s="615"/>
      <c r="BM193" s="616"/>
      <c r="BN193" s="617"/>
      <c r="BO193" s="503"/>
      <c r="BP193" s="501"/>
      <c r="BQ193" s="504"/>
      <c r="BR193" s="513">
        <f t="shared" si="39"/>
        <v>3502</v>
      </c>
      <c r="BS193" s="514">
        <f t="shared" si="39"/>
        <v>291000</v>
      </c>
      <c r="BT193" s="515">
        <f t="shared" si="39"/>
        <v>0</v>
      </c>
      <c r="BU193" s="516"/>
      <c r="BV193" s="517"/>
      <c r="BW193" s="518"/>
    </row>
    <row r="194" spans="1:75" ht="72">
      <c r="A194" s="470" t="s">
        <v>49</v>
      </c>
      <c r="B194" s="471">
        <v>52</v>
      </c>
      <c r="C194" s="471" t="s">
        <v>32</v>
      </c>
      <c r="D194" s="521">
        <v>3693</v>
      </c>
      <c r="E194" s="522" t="s">
        <v>37</v>
      </c>
      <c r="F194" s="523" t="s">
        <v>687</v>
      </c>
      <c r="G194" s="628">
        <f t="shared" si="37"/>
        <v>502283</v>
      </c>
      <c r="H194" s="629">
        <f t="shared" si="37"/>
        <v>322596</v>
      </c>
      <c r="I194" s="630">
        <f t="shared" si="37"/>
        <v>35000</v>
      </c>
      <c r="J194" s="615"/>
      <c r="K194" s="616"/>
      <c r="L194" s="617"/>
      <c r="M194" s="618">
        <v>56491</v>
      </c>
      <c r="N194" s="616">
        <v>97800</v>
      </c>
      <c r="O194" s="619"/>
      <c r="P194" s="500"/>
      <c r="Q194" s="501"/>
      <c r="R194" s="502"/>
      <c r="S194" s="503"/>
      <c r="T194" s="501"/>
      <c r="U194" s="504"/>
      <c r="V194" s="615"/>
      <c r="W194" s="616"/>
      <c r="X194" s="617"/>
      <c r="Y194" s="505">
        <f t="shared" si="38"/>
        <v>56491</v>
      </c>
      <c r="Z194" s="506">
        <f t="shared" si="38"/>
        <v>97800</v>
      </c>
      <c r="AA194" s="507">
        <f t="shared" si="38"/>
        <v>0</v>
      </c>
      <c r="AB194" s="615"/>
      <c r="AC194" s="616"/>
      <c r="AD194" s="617"/>
      <c r="AE194" s="618">
        <v>425949</v>
      </c>
      <c r="AF194" s="616">
        <v>181820</v>
      </c>
      <c r="AG194" s="619">
        <v>35000</v>
      </c>
      <c r="AH194" s="615"/>
      <c r="AI194" s="501"/>
      <c r="AJ194" s="502"/>
      <c r="AK194" s="503"/>
      <c r="AL194" s="501"/>
      <c r="AM194" s="504"/>
      <c r="AN194" s="615"/>
      <c r="AO194" s="616"/>
      <c r="AP194" s="617"/>
      <c r="AQ194" s="618">
        <v>19843</v>
      </c>
      <c r="AR194" s="616"/>
      <c r="AS194" s="504"/>
      <c r="AT194" s="500"/>
      <c r="AU194" s="501"/>
      <c r="AV194" s="502"/>
      <c r="AW194" s="503"/>
      <c r="AX194" s="501"/>
      <c r="AY194" s="504"/>
      <c r="AZ194" s="500"/>
      <c r="BA194" s="501"/>
      <c r="BB194" s="502"/>
      <c r="BC194" s="503"/>
      <c r="BD194" s="501"/>
      <c r="BE194" s="504"/>
      <c r="BF194" s="615"/>
      <c r="BG194" s="616"/>
      <c r="BH194" s="617"/>
      <c r="BI194" s="618"/>
      <c r="BJ194" s="616">
        <v>42976</v>
      </c>
      <c r="BK194" s="619"/>
      <c r="BL194" s="615"/>
      <c r="BM194" s="616"/>
      <c r="BN194" s="617"/>
      <c r="BO194" s="503"/>
      <c r="BP194" s="501"/>
      <c r="BQ194" s="504"/>
      <c r="BR194" s="513">
        <f t="shared" si="39"/>
        <v>502283</v>
      </c>
      <c r="BS194" s="514">
        <f t="shared" si="39"/>
        <v>322596</v>
      </c>
      <c r="BT194" s="515">
        <f t="shared" si="39"/>
        <v>35000</v>
      </c>
      <c r="BU194" s="516"/>
      <c r="BV194" s="517"/>
      <c r="BW194" s="518"/>
    </row>
    <row r="195" spans="1:75" ht="24">
      <c r="A195" s="470" t="s">
        <v>49</v>
      </c>
      <c r="B195" s="471">
        <v>52</v>
      </c>
      <c r="C195" s="471" t="s">
        <v>32</v>
      </c>
      <c r="D195" s="521">
        <v>3721</v>
      </c>
      <c r="E195" s="522" t="s">
        <v>84</v>
      </c>
      <c r="F195" s="523" t="s">
        <v>687</v>
      </c>
      <c r="G195" s="628">
        <f t="shared" si="37"/>
        <v>42368</v>
      </c>
      <c r="H195" s="629">
        <f t="shared" si="37"/>
        <v>0</v>
      </c>
      <c r="I195" s="630">
        <f t="shared" si="37"/>
        <v>0</v>
      </c>
      <c r="J195" s="615"/>
      <c r="K195" s="616"/>
      <c r="L195" s="617"/>
      <c r="M195" s="618"/>
      <c r="N195" s="616"/>
      <c r="O195" s="619"/>
      <c r="P195" s="500"/>
      <c r="Q195" s="501"/>
      <c r="R195" s="502"/>
      <c r="S195" s="503"/>
      <c r="T195" s="501"/>
      <c r="U195" s="504"/>
      <c r="V195" s="615"/>
      <c r="W195" s="616"/>
      <c r="X195" s="617"/>
      <c r="Y195" s="505">
        <f t="shared" si="38"/>
        <v>0</v>
      </c>
      <c r="Z195" s="506">
        <f t="shared" si="38"/>
        <v>0</v>
      </c>
      <c r="AA195" s="507">
        <f t="shared" si="38"/>
        <v>0</v>
      </c>
      <c r="AB195" s="615"/>
      <c r="AC195" s="616"/>
      <c r="AD195" s="617"/>
      <c r="AE195" s="618"/>
      <c r="AF195" s="616"/>
      <c r="AG195" s="619"/>
      <c r="AH195" s="615"/>
      <c r="AI195" s="501"/>
      <c r="AJ195" s="502"/>
      <c r="AK195" s="503"/>
      <c r="AL195" s="501"/>
      <c r="AM195" s="504"/>
      <c r="AN195" s="615"/>
      <c r="AO195" s="616"/>
      <c r="AP195" s="617"/>
      <c r="AQ195" s="618"/>
      <c r="AR195" s="616"/>
      <c r="AS195" s="504"/>
      <c r="AT195" s="500"/>
      <c r="AU195" s="501"/>
      <c r="AV195" s="502"/>
      <c r="AW195" s="503"/>
      <c r="AX195" s="501"/>
      <c r="AY195" s="504"/>
      <c r="AZ195" s="500"/>
      <c r="BA195" s="501"/>
      <c r="BB195" s="502"/>
      <c r="BC195" s="503"/>
      <c r="BD195" s="501"/>
      <c r="BE195" s="504"/>
      <c r="BF195" s="615">
        <v>42368</v>
      </c>
      <c r="BG195" s="616"/>
      <c r="BH195" s="617"/>
      <c r="BI195" s="618"/>
      <c r="BJ195" s="616"/>
      <c r="BK195" s="619"/>
      <c r="BL195" s="615"/>
      <c r="BM195" s="616"/>
      <c r="BN195" s="617"/>
      <c r="BO195" s="503"/>
      <c r="BP195" s="501"/>
      <c r="BQ195" s="504"/>
      <c r="BR195" s="513">
        <f t="shared" si="39"/>
        <v>42368</v>
      </c>
      <c r="BS195" s="514">
        <f t="shared" si="39"/>
        <v>0</v>
      </c>
      <c r="BT195" s="515">
        <f t="shared" si="39"/>
        <v>0</v>
      </c>
      <c r="BU195" s="516"/>
      <c r="BV195" s="517"/>
      <c r="BW195" s="518"/>
    </row>
    <row r="196" spans="1:75" ht="36">
      <c r="A196" s="470" t="s">
        <v>49</v>
      </c>
      <c r="B196" s="471">
        <v>52</v>
      </c>
      <c r="C196" s="471" t="s">
        <v>32</v>
      </c>
      <c r="D196" s="521">
        <v>3723</v>
      </c>
      <c r="E196" s="522" t="s">
        <v>784</v>
      </c>
      <c r="F196" s="523" t="s">
        <v>687</v>
      </c>
      <c r="G196" s="628">
        <f t="shared" si="37"/>
        <v>2955572</v>
      </c>
      <c r="H196" s="629">
        <f t="shared" si="37"/>
        <v>0</v>
      </c>
      <c r="I196" s="630">
        <f t="shared" si="37"/>
        <v>0</v>
      </c>
      <c r="J196" s="615">
        <v>2955572</v>
      </c>
      <c r="K196" s="616"/>
      <c r="L196" s="617"/>
      <c r="M196" s="618"/>
      <c r="N196" s="616"/>
      <c r="O196" s="619"/>
      <c r="P196" s="500"/>
      <c r="Q196" s="501"/>
      <c r="R196" s="502"/>
      <c r="S196" s="503"/>
      <c r="T196" s="501"/>
      <c r="U196" s="504"/>
      <c r="V196" s="615"/>
      <c r="W196" s="616"/>
      <c r="X196" s="617"/>
      <c r="Y196" s="505">
        <f t="shared" si="38"/>
        <v>2955572</v>
      </c>
      <c r="Z196" s="506">
        <f t="shared" si="38"/>
        <v>0</v>
      </c>
      <c r="AA196" s="507">
        <f t="shared" si="38"/>
        <v>0</v>
      </c>
      <c r="AB196" s="615"/>
      <c r="AC196" s="616"/>
      <c r="AD196" s="617"/>
      <c r="AE196" s="618"/>
      <c r="AF196" s="616"/>
      <c r="AG196" s="619"/>
      <c r="AH196" s="615"/>
      <c r="AI196" s="501"/>
      <c r="AJ196" s="502"/>
      <c r="AK196" s="503"/>
      <c r="AL196" s="501"/>
      <c r="AM196" s="504"/>
      <c r="AN196" s="615"/>
      <c r="AO196" s="616"/>
      <c r="AP196" s="617"/>
      <c r="AQ196" s="618"/>
      <c r="AR196" s="616"/>
      <c r="AS196" s="504"/>
      <c r="AT196" s="500"/>
      <c r="AU196" s="501"/>
      <c r="AV196" s="502"/>
      <c r="AW196" s="503"/>
      <c r="AX196" s="501"/>
      <c r="AY196" s="504"/>
      <c r="AZ196" s="500"/>
      <c r="BA196" s="501"/>
      <c r="BB196" s="502"/>
      <c r="BC196" s="503"/>
      <c r="BD196" s="501"/>
      <c r="BE196" s="504"/>
      <c r="BF196" s="615"/>
      <c r="BG196" s="616"/>
      <c r="BH196" s="617"/>
      <c r="BI196" s="618"/>
      <c r="BJ196" s="616"/>
      <c r="BK196" s="619"/>
      <c r="BL196" s="615"/>
      <c r="BM196" s="616"/>
      <c r="BN196" s="617"/>
      <c r="BO196" s="503"/>
      <c r="BP196" s="501"/>
      <c r="BQ196" s="504"/>
      <c r="BR196" s="513">
        <f t="shared" si="39"/>
        <v>2955572</v>
      </c>
      <c r="BS196" s="514">
        <f t="shared" si="39"/>
        <v>0</v>
      </c>
      <c r="BT196" s="515">
        <f t="shared" si="39"/>
        <v>0</v>
      </c>
      <c r="BU196" s="516"/>
      <c r="BV196" s="517"/>
      <c r="BW196" s="518"/>
    </row>
    <row r="197" spans="1:75" ht="24">
      <c r="A197" s="519" t="s">
        <v>49</v>
      </c>
      <c r="B197" s="520">
        <v>52</v>
      </c>
      <c r="C197" s="520" t="s">
        <v>32</v>
      </c>
      <c r="D197" s="521">
        <v>3813</v>
      </c>
      <c r="E197" s="522" t="s">
        <v>812</v>
      </c>
      <c r="F197" s="523" t="s">
        <v>687</v>
      </c>
      <c r="G197" s="628">
        <f t="shared" si="37"/>
        <v>100462</v>
      </c>
      <c r="H197" s="629">
        <f t="shared" si="37"/>
        <v>0</v>
      </c>
      <c r="I197" s="630">
        <f t="shared" si="37"/>
        <v>0</v>
      </c>
      <c r="J197" s="615"/>
      <c r="K197" s="616"/>
      <c r="L197" s="617"/>
      <c r="M197" s="618"/>
      <c r="N197" s="616"/>
      <c r="O197" s="619"/>
      <c r="P197" s="500"/>
      <c r="Q197" s="501"/>
      <c r="R197" s="502"/>
      <c r="S197" s="503"/>
      <c r="T197" s="501"/>
      <c r="U197" s="504"/>
      <c r="V197" s="615"/>
      <c r="W197" s="616"/>
      <c r="X197" s="617"/>
      <c r="Y197" s="505">
        <f t="shared" si="38"/>
        <v>0</v>
      </c>
      <c r="Z197" s="506">
        <f t="shared" si="38"/>
        <v>0</v>
      </c>
      <c r="AA197" s="507">
        <f t="shared" si="38"/>
        <v>0</v>
      </c>
      <c r="AB197" s="615"/>
      <c r="AC197" s="616"/>
      <c r="AD197" s="617"/>
      <c r="AE197" s="618"/>
      <c r="AF197" s="616"/>
      <c r="AG197" s="619"/>
      <c r="AH197" s="615"/>
      <c r="AI197" s="501"/>
      <c r="AJ197" s="502"/>
      <c r="AK197" s="503"/>
      <c r="AL197" s="501"/>
      <c r="AM197" s="504"/>
      <c r="AN197" s="615"/>
      <c r="AO197" s="616"/>
      <c r="AP197" s="617"/>
      <c r="AQ197" s="618">
        <v>100462</v>
      </c>
      <c r="AR197" s="616"/>
      <c r="AS197" s="504"/>
      <c r="AT197" s="500"/>
      <c r="AU197" s="501"/>
      <c r="AV197" s="502"/>
      <c r="AW197" s="503"/>
      <c r="AX197" s="501"/>
      <c r="AY197" s="504"/>
      <c r="AZ197" s="500"/>
      <c r="BA197" s="501"/>
      <c r="BB197" s="502"/>
      <c r="BC197" s="503"/>
      <c r="BD197" s="501"/>
      <c r="BE197" s="504"/>
      <c r="BF197" s="615"/>
      <c r="BG197" s="616"/>
      <c r="BH197" s="617"/>
      <c r="BI197" s="618"/>
      <c r="BJ197" s="616"/>
      <c r="BK197" s="619"/>
      <c r="BL197" s="615"/>
      <c r="BM197" s="616"/>
      <c r="BN197" s="617"/>
      <c r="BO197" s="503"/>
      <c r="BP197" s="501"/>
      <c r="BQ197" s="504"/>
      <c r="BR197" s="513">
        <f t="shared" si="39"/>
        <v>100462</v>
      </c>
      <c r="BS197" s="514">
        <f t="shared" si="39"/>
        <v>0</v>
      </c>
      <c r="BT197" s="515">
        <f t="shared" si="39"/>
        <v>0</v>
      </c>
      <c r="BU197" s="516"/>
      <c r="BV197" s="517"/>
      <c r="BW197" s="518"/>
    </row>
    <row r="198" spans="1:75" ht="36">
      <c r="A198" s="519" t="s">
        <v>49</v>
      </c>
      <c r="B198" s="520">
        <v>52</v>
      </c>
      <c r="C198" s="520" t="s">
        <v>32</v>
      </c>
      <c r="D198" s="521">
        <v>4124</v>
      </c>
      <c r="E198" s="522" t="s">
        <v>721</v>
      </c>
      <c r="F198" s="523" t="s">
        <v>687</v>
      </c>
      <c r="G198" s="628">
        <f t="shared" si="37"/>
        <v>0</v>
      </c>
      <c r="H198" s="629">
        <f t="shared" si="37"/>
        <v>0</v>
      </c>
      <c r="I198" s="630">
        <f t="shared" si="37"/>
        <v>0</v>
      </c>
      <c r="J198" s="615"/>
      <c r="K198" s="616"/>
      <c r="L198" s="617"/>
      <c r="M198" s="618"/>
      <c r="N198" s="616"/>
      <c r="O198" s="619"/>
      <c r="P198" s="500"/>
      <c r="Q198" s="501"/>
      <c r="R198" s="502"/>
      <c r="S198" s="503"/>
      <c r="T198" s="501"/>
      <c r="U198" s="504"/>
      <c r="V198" s="615"/>
      <c r="W198" s="616"/>
      <c r="X198" s="617"/>
      <c r="Y198" s="505">
        <f t="shared" si="38"/>
        <v>0</v>
      </c>
      <c r="Z198" s="506">
        <f t="shared" si="38"/>
        <v>0</v>
      </c>
      <c r="AA198" s="507">
        <f t="shared" si="38"/>
        <v>0</v>
      </c>
      <c r="AB198" s="615"/>
      <c r="AC198" s="616"/>
      <c r="AD198" s="617"/>
      <c r="AE198" s="618"/>
      <c r="AF198" s="616"/>
      <c r="AG198" s="619"/>
      <c r="AH198" s="615"/>
      <c r="AI198" s="501"/>
      <c r="AJ198" s="502"/>
      <c r="AK198" s="503"/>
      <c r="AL198" s="501"/>
      <c r="AM198" s="504"/>
      <c r="AN198" s="615"/>
      <c r="AO198" s="616"/>
      <c r="AP198" s="617"/>
      <c r="AQ198" s="618"/>
      <c r="AR198" s="616"/>
      <c r="AS198" s="504"/>
      <c r="AT198" s="500"/>
      <c r="AU198" s="501"/>
      <c r="AV198" s="502"/>
      <c r="AW198" s="503"/>
      <c r="AX198" s="501"/>
      <c r="AY198" s="504"/>
      <c r="AZ198" s="500"/>
      <c r="BA198" s="501"/>
      <c r="BB198" s="502"/>
      <c r="BC198" s="503"/>
      <c r="BD198" s="501"/>
      <c r="BE198" s="504"/>
      <c r="BF198" s="615"/>
      <c r="BG198" s="616"/>
      <c r="BH198" s="617"/>
      <c r="BI198" s="618"/>
      <c r="BJ198" s="616"/>
      <c r="BK198" s="619"/>
      <c r="BL198" s="615"/>
      <c r="BM198" s="616"/>
      <c r="BN198" s="617"/>
      <c r="BO198" s="503"/>
      <c r="BP198" s="501"/>
      <c r="BQ198" s="504"/>
      <c r="BR198" s="513">
        <f t="shared" si="39"/>
        <v>0</v>
      </c>
      <c r="BS198" s="514">
        <f t="shared" si="39"/>
        <v>0</v>
      </c>
      <c r="BT198" s="515">
        <f t="shared" si="39"/>
        <v>0</v>
      </c>
      <c r="BU198" s="516"/>
      <c r="BV198" s="517"/>
      <c r="BW198" s="518"/>
    </row>
    <row r="199" spans="1:75" ht="24">
      <c r="A199" s="519" t="s">
        <v>49</v>
      </c>
      <c r="B199" s="520">
        <v>52</v>
      </c>
      <c r="C199" s="520" t="s">
        <v>32</v>
      </c>
      <c r="D199" s="521">
        <v>4221</v>
      </c>
      <c r="E199" s="522" t="s">
        <v>63</v>
      </c>
      <c r="F199" s="523" t="s">
        <v>687</v>
      </c>
      <c r="G199" s="628">
        <f t="shared" si="37"/>
        <v>239547</v>
      </c>
      <c r="H199" s="629">
        <f t="shared" si="37"/>
        <v>0</v>
      </c>
      <c r="I199" s="630">
        <f t="shared" si="37"/>
        <v>0</v>
      </c>
      <c r="J199" s="615"/>
      <c r="K199" s="616"/>
      <c r="L199" s="617"/>
      <c r="M199" s="618"/>
      <c r="N199" s="616"/>
      <c r="O199" s="619"/>
      <c r="P199" s="500"/>
      <c r="Q199" s="501"/>
      <c r="R199" s="502"/>
      <c r="S199" s="503"/>
      <c r="T199" s="501"/>
      <c r="U199" s="504"/>
      <c r="V199" s="615"/>
      <c r="W199" s="616"/>
      <c r="X199" s="617"/>
      <c r="Y199" s="505">
        <f t="shared" si="38"/>
        <v>0</v>
      </c>
      <c r="Z199" s="506">
        <f t="shared" si="38"/>
        <v>0</v>
      </c>
      <c r="AA199" s="507">
        <f t="shared" si="38"/>
        <v>0</v>
      </c>
      <c r="AB199" s="615"/>
      <c r="AC199" s="616"/>
      <c r="AD199" s="617"/>
      <c r="AE199" s="618">
        <f>148569+62139</f>
        <v>210708</v>
      </c>
      <c r="AF199" s="616"/>
      <c r="AG199" s="619"/>
      <c r="AH199" s="615"/>
      <c r="AI199" s="501"/>
      <c r="AJ199" s="502"/>
      <c r="AK199" s="503"/>
      <c r="AL199" s="501"/>
      <c r="AM199" s="504"/>
      <c r="AN199" s="615"/>
      <c r="AO199" s="616"/>
      <c r="AP199" s="617"/>
      <c r="AQ199" s="618"/>
      <c r="AR199" s="616"/>
      <c r="AS199" s="504"/>
      <c r="AT199" s="500"/>
      <c r="AU199" s="501"/>
      <c r="AV199" s="502"/>
      <c r="AW199" s="503"/>
      <c r="AX199" s="501"/>
      <c r="AY199" s="504"/>
      <c r="AZ199" s="500"/>
      <c r="BA199" s="501"/>
      <c r="BB199" s="502"/>
      <c r="BC199" s="503"/>
      <c r="BD199" s="501"/>
      <c r="BE199" s="504"/>
      <c r="BF199" s="615">
        <v>28839</v>
      </c>
      <c r="BG199" s="616"/>
      <c r="BH199" s="617"/>
      <c r="BI199" s="618"/>
      <c r="BJ199" s="616"/>
      <c r="BK199" s="619"/>
      <c r="BL199" s="615"/>
      <c r="BM199" s="616"/>
      <c r="BN199" s="617"/>
      <c r="BO199" s="503"/>
      <c r="BP199" s="501"/>
      <c r="BQ199" s="504"/>
      <c r="BR199" s="513">
        <f t="shared" si="39"/>
        <v>239547</v>
      </c>
      <c r="BS199" s="514">
        <f t="shared" si="39"/>
        <v>0</v>
      </c>
      <c r="BT199" s="515">
        <f t="shared" si="39"/>
        <v>0</v>
      </c>
      <c r="BU199" s="516"/>
      <c r="BV199" s="517"/>
      <c r="BW199" s="518"/>
    </row>
    <row r="200" spans="1:75" s="598" customFormat="1" ht="24">
      <c r="A200" s="519" t="s">
        <v>49</v>
      </c>
      <c r="B200" s="520">
        <v>52</v>
      </c>
      <c r="C200" s="520" t="s">
        <v>32</v>
      </c>
      <c r="D200" s="521">
        <v>4222</v>
      </c>
      <c r="E200" s="522" t="s">
        <v>72</v>
      </c>
      <c r="F200" s="523" t="s">
        <v>687</v>
      </c>
      <c r="G200" s="628">
        <f t="shared" si="37"/>
        <v>56490</v>
      </c>
      <c r="H200" s="629">
        <f t="shared" si="37"/>
        <v>0</v>
      </c>
      <c r="I200" s="630">
        <f t="shared" si="37"/>
        <v>0</v>
      </c>
      <c r="J200" s="631"/>
      <c r="K200" s="632"/>
      <c r="L200" s="633"/>
      <c r="M200" s="634"/>
      <c r="N200" s="632"/>
      <c r="O200" s="635"/>
      <c r="P200" s="631"/>
      <c r="Q200" s="632"/>
      <c r="R200" s="633"/>
      <c r="S200" s="634"/>
      <c r="T200" s="632"/>
      <c r="U200" s="635"/>
      <c r="V200" s="631"/>
      <c r="W200" s="632"/>
      <c r="X200" s="633"/>
      <c r="Y200" s="505">
        <f t="shared" si="38"/>
        <v>0</v>
      </c>
      <c r="Z200" s="506">
        <f t="shared" si="38"/>
        <v>0</v>
      </c>
      <c r="AA200" s="507">
        <f t="shared" si="38"/>
        <v>0</v>
      </c>
      <c r="AB200" s="631"/>
      <c r="AC200" s="632"/>
      <c r="AD200" s="633"/>
      <c r="AE200" s="618">
        <v>56490</v>
      </c>
      <c r="AF200" s="632"/>
      <c r="AG200" s="635"/>
      <c r="AH200" s="631"/>
      <c r="AI200" s="632"/>
      <c r="AJ200" s="633"/>
      <c r="AK200" s="634"/>
      <c r="AL200" s="632"/>
      <c r="AM200" s="635"/>
      <c r="AN200" s="631"/>
      <c r="AO200" s="632"/>
      <c r="AP200" s="633"/>
      <c r="AQ200" s="634"/>
      <c r="AR200" s="632"/>
      <c r="AS200" s="635"/>
      <c r="AT200" s="631"/>
      <c r="AU200" s="632"/>
      <c r="AV200" s="633"/>
      <c r="AW200" s="634"/>
      <c r="AX200" s="632"/>
      <c r="AY200" s="635"/>
      <c r="AZ200" s="631"/>
      <c r="BA200" s="632"/>
      <c r="BB200" s="633"/>
      <c r="BC200" s="634"/>
      <c r="BD200" s="632"/>
      <c r="BE200" s="635"/>
      <c r="BF200" s="631"/>
      <c r="BG200" s="632"/>
      <c r="BH200" s="633"/>
      <c r="BI200" s="634"/>
      <c r="BJ200" s="632"/>
      <c r="BK200" s="635"/>
      <c r="BL200" s="631"/>
      <c r="BM200" s="632"/>
      <c r="BN200" s="633"/>
      <c r="BO200" s="634"/>
      <c r="BP200" s="632"/>
      <c r="BQ200" s="635"/>
      <c r="BR200" s="513">
        <f t="shared" si="39"/>
        <v>56490</v>
      </c>
      <c r="BS200" s="514">
        <f t="shared" si="39"/>
        <v>0</v>
      </c>
      <c r="BT200" s="515">
        <f t="shared" si="39"/>
        <v>0</v>
      </c>
      <c r="BU200" s="636"/>
      <c r="BV200" s="637"/>
      <c r="BW200" s="638"/>
    </row>
    <row r="201" spans="1:75" ht="24">
      <c r="A201" s="519" t="s">
        <v>49</v>
      </c>
      <c r="B201" s="520">
        <v>52</v>
      </c>
      <c r="C201" s="520" t="s">
        <v>32</v>
      </c>
      <c r="D201" s="521">
        <v>4223</v>
      </c>
      <c r="E201" s="522" t="s">
        <v>90</v>
      </c>
      <c r="F201" s="523" t="s">
        <v>687</v>
      </c>
      <c r="G201" s="628">
        <f t="shared" si="37"/>
        <v>0</v>
      </c>
      <c r="H201" s="629">
        <f t="shared" si="37"/>
        <v>0</v>
      </c>
      <c r="I201" s="630">
        <f t="shared" si="37"/>
        <v>0</v>
      </c>
      <c r="J201" s="615"/>
      <c r="K201" s="616"/>
      <c r="L201" s="617"/>
      <c r="M201" s="618"/>
      <c r="N201" s="616"/>
      <c r="O201" s="619"/>
      <c r="P201" s="500"/>
      <c r="Q201" s="501"/>
      <c r="R201" s="502"/>
      <c r="S201" s="503"/>
      <c r="T201" s="501"/>
      <c r="U201" s="504"/>
      <c r="V201" s="615"/>
      <c r="W201" s="616"/>
      <c r="X201" s="617"/>
      <c r="Y201" s="505">
        <f t="shared" si="38"/>
        <v>0</v>
      </c>
      <c r="Z201" s="506">
        <f t="shared" si="38"/>
        <v>0</v>
      </c>
      <c r="AA201" s="507">
        <f t="shared" si="38"/>
        <v>0</v>
      </c>
      <c r="AB201" s="615"/>
      <c r="AC201" s="616"/>
      <c r="AD201" s="617"/>
      <c r="AE201" s="618"/>
      <c r="AF201" s="616"/>
      <c r="AG201" s="619"/>
      <c r="AH201" s="615"/>
      <c r="AI201" s="501"/>
      <c r="AJ201" s="502"/>
      <c r="AK201" s="503"/>
      <c r="AL201" s="501"/>
      <c r="AM201" s="504"/>
      <c r="AN201" s="615"/>
      <c r="AO201" s="616"/>
      <c r="AP201" s="617"/>
      <c r="AQ201" s="618"/>
      <c r="AR201" s="616"/>
      <c r="AS201" s="504"/>
      <c r="AT201" s="500"/>
      <c r="AU201" s="501"/>
      <c r="AV201" s="502"/>
      <c r="AW201" s="503"/>
      <c r="AX201" s="501"/>
      <c r="AY201" s="504"/>
      <c r="AZ201" s="500"/>
      <c r="BA201" s="501"/>
      <c r="BB201" s="502"/>
      <c r="BC201" s="503"/>
      <c r="BD201" s="501"/>
      <c r="BE201" s="504"/>
      <c r="BF201" s="615"/>
      <c r="BG201" s="616"/>
      <c r="BH201" s="617"/>
      <c r="BI201" s="618"/>
      <c r="BJ201" s="616"/>
      <c r="BK201" s="619"/>
      <c r="BL201" s="615"/>
      <c r="BM201" s="616"/>
      <c r="BN201" s="617"/>
      <c r="BO201" s="503"/>
      <c r="BP201" s="501"/>
      <c r="BQ201" s="504"/>
      <c r="BR201" s="513">
        <f t="shared" si="39"/>
        <v>0</v>
      </c>
      <c r="BS201" s="514">
        <f t="shared" si="39"/>
        <v>0</v>
      </c>
      <c r="BT201" s="515">
        <f t="shared" si="39"/>
        <v>0</v>
      </c>
      <c r="BU201" s="516"/>
      <c r="BV201" s="517"/>
      <c r="BW201" s="518"/>
    </row>
    <row r="202" spans="1:75" ht="36.75" thickBot="1">
      <c r="A202" s="524" t="s">
        <v>49</v>
      </c>
      <c r="B202" s="525">
        <v>52</v>
      </c>
      <c r="C202" s="525" t="s">
        <v>32</v>
      </c>
      <c r="D202" s="526">
        <v>4224</v>
      </c>
      <c r="E202" s="527" t="s">
        <v>73</v>
      </c>
      <c r="F202" s="528" t="s">
        <v>687</v>
      </c>
      <c r="G202" s="639">
        <f t="shared" si="37"/>
        <v>1992430</v>
      </c>
      <c r="H202" s="640">
        <f t="shared" si="37"/>
        <v>509000</v>
      </c>
      <c r="I202" s="641">
        <f t="shared" si="37"/>
        <v>24500</v>
      </c>
      <c r="J202" s="620"/>
      <c r="K202" s="621"/>
      <c r="L202" s="622"/>
      <c r="M202" s="623">
        <v>526207</v>
      </c>
      <c r="N202" s="621">
        <v>317200</v>
      </c>
      <c r="O202" s="624"/>
      <c r="P202" s="532"/>
      <c r="Q202" s="533"/>
      <c r="R202" s="534"/>
      <c r="S202" s="535"/>
      <c r="T202" s="533"/>
      <c r="U202" s="536"/>
      <c r="V202" s="620"/>
      <c r="W202" s="621"/>
      <c r="X202" s="622"/>
      <c r="Y202" s="537">
        <f t="shared" si="38"/>
        <v>526207</v>
      </c>
      <c r="Z202" s="538">
        <f t="shared" si="38"/>
        <v>317200</v>
      </c>
      <c r="AA202" s="539">
        <f t="shared" si="38"/>
        <v>0</v>
      </c>
      <c r="AB202" s="620"/>
      <c r="AC202" s="621"/>
      <c r="AD202" s="622"/>
      <c r="AE202" s="623"/>
      <c r="AF202" s="621"/>
      <c r="AG202" s="624"/>
      <c r="AH202" s="620">
        <f>446851+464633+131900</f>
        <v>1043384</v>
      </c>
      <c r="AI202" s="533">
        <v>191800</v>
      </c>
      <c r="AJ202" s="534">
        <v>24500</v>
      </c>
      <c r="AK202" s="535"/>
      <c r="AL202" s="533"/>
      <c r="AM202" s="536"/>
      <c r="AN202" s="620">
        <v>214335</v>
      </c>
      <c r="AO202" s="621"/>
      <c r="AP202" s="622"/>
      <c r="AQ202" s="623"/>
      <c r="AR202" s="621"/>
      <c r="AS202" s="536"/>
      <c r="AT202" s="532"/>
      <c r="AU202" s="533"/>
      <c r="AV202" s="534"/>
      <c r="AW202" s="535"/>
      <c r="AX202" s="533"/>
      <c r="AY202" s="536"/>
      <c r="AZ202" s="532"/>
      <c r="BA202" s="533"/>
      <c r="BB202" s="534"/>
      <c r="BC202" s="535"/>
      <c r="BD202" s="533"/>
      <c r="BE202" s="536"/>
      <c r="BF202" s="620">
        <f>154753+53751</f>
        <v>208504</v>
      </c>
      <c r="BG202" s="621"/>
      <c r="BH202" s="622"/>
      <c r="BI202" s="623"/>
      <c r="BJ202" s="621"/>
      <c r="BK202" s="624"/>
      <c r="BL202" s="620"/>
      <c r="BM202" s="621"/>
      <c r="BN202" s="622"/>
      <c r="BO202" s="535"/>
      <c r="BP202" s="533"/>
      <c r="BQ202" s="536"/>
      <c r="BR202" s="546">
        <f t="shared" si="39"/>
        <v>1992430</v>
      </c>
      <c r="BS202" s="547">
        <f t="shared" si="39"/>
        <v>509000</v>
      </c>
      <c r="BT202" s="548">
        <f t="shared" si="39"/>
        <v>24500</v>
      </c>
      <c r="BU202" s="549"/>
      <c r="BV202" s="550"/>
      <c r="BW202" s="551"/>
    </row>
    <row r="203" spans="1:75" ht="12.75" thickBot="1">
      <c r="A203" s="581" t="s">
        <v>49</v>
      </c>
      <c r="B203" s="554">
        <v>52</v>
      </c>
      <c r="C203" s="554" t="s">
        <v>32</v>
      </c>
      <c r="D203" s="555"/>
      <c r="E203" s="556" t="s">
        <v>161</v>
      </c>
      <c r="F203" s="557" t="s">
        <v>687</v>
      </c>
      <c r="G203" s="558">
        <f t="shared" ref="G203:AL203" si="40">SUM(G175:G202)</f>
        <v>11604285</v>
      </c>
      <c r="H203" s="559">
        <f t="shared" si="40"/>
        <v>3195706</v>
      </c>
      <c r="I203" s="560">
        <f t="shared" si="40"/>
        <v>85000</v>
      </c>
      <c r="J203" s="561">
        <f t="shared" si="40"/>
        <v>3375294</v>
      </c>
      <c r="K203" s="559">
        <f t="shared" si="40"/>
        <v>0</v>
      </c>
      <c r="L203" s="562">
        <f t="shared" si="40"/>
        <v>0</v>
      </c>
      <c r="M203" s="558">
        <f t="shared" si="40"/>
        <v>723077</v>
      </c>
      <c r="N203" s="559">
        <f t="shared" si="40"/>
        <v>590000</v>
      </c>
      <c r="O203" s="560">
        <f t="shared" si="40"/>
        <v>0</v>
      </c>
      <c r="P203" s="561">
        <f t="shared" si="40"/>
        <v>0</v>
      </c>
      <c r="Q203" s="559">
        <f t="shared" si="40"/>
        <v>0</v>
      </c>
      <c r="R203" s="562">
        <f t="shared" si="40"/>
        <v>0</v>
      </c>
      <c r="S203" s="558">
        <f t="shared" si="40"/>
        <v>0</v>
      </c>
      <c r="T203" s="559">
        <f t="shared" si="40"/>
        <v>0</v>
      </c>
      <c r="U203" s="560">
        <f t="shared" si="40"/>
        <v>0</v>
      </c>
      <c r="V203" s="561">
        <f t="shared" si="40"/>
        <v>320075</v>
      </c>
      <c r="W203" s="559">
        <f t="shared" si="40"/>
        <v>397945</v>
      </c>
      <c r="X203" s="562">
        <f t="shared" si="40"/>
        <v>0</v>
      </c>
      <c r="Y203" s="558">
        <f t="shared" si="40"/>
        <v>4418446</v>
      </c>
      <c r="Z203" s="559">
        <f t="shared" si="40"/>
        <v>987945</v>
      </c>
      <c r="AA203" s="560">
        <f t="shared" si="40"/>
        <v>0</v>
      </c>
      <c r="AB203" s="561">
        <f t="shared" si="40"/>
        <v>0</v>
      </c>
      <c r="AC203" s="559">
        <f t="shared" si="40"/>
        <v>0</v>
      </c>
      <c r="AD203" s="562">
        <f t="shared" si="40"/>
        <v>0</v>
      </c>
      <c r="AE203" s="558">
        <f t="shared" si="40"/>
        <v>1166131</v>
      </c>
      <c r="AF203" s="559">
        <f t="shared" si="40"/>
        <v>1065785</v>
      </c>
      <c r="AG203" s="560">
        <f t="shared" si="40"/>
        <v>50000</v>
      </c>
      <c r="AH203" s="561">
        <f t="shared" si="40"/>
        <v>2567660</v>
      </c>
      <c r="AI203" s="559">
        <f t="shared" si="40"/>
        <v>492000</v>
      </c>
      <c r="AJ203" s="562">
        <f t="shared" si="40"/>
        <v>35000</v>
      </c>
      <c r="AK203" s="558">
        <f t="shared" si="40"/>
        <v>0</v>
      </c>
      <c r="AL203" s="559">
        <f t="shared" si="40"/>
        <v>0</v>
      </c>
      <c r="AM203" s="560">
        <f t="shared" ref="AM203:BW203" si="41">SUM(AM175:AM202)</f>
        <v>0</v>
      </c>
      <c r="AN203" s="561">
        <f t="shared" si="41"/>
        <v>559015</v>
      </c>
      <c r="AO203" s="559">
        <f t="shared" si="41"/>
        <v>166000</v>
      </c>
      <c r="AP203" s="562">
        <f t="shared" si="41"/>
        <v>0</v>
      </c>
      <c r="AQ203" s="558">
        <f t="shared" si="41"/>
        <v>504622</v>
      </c>
      <c r="AR203" s="559">
        <f t="shared" si="41"/>
        <v>0</v>
      </c>
      <c r="AS203" s="560">
        <f t="shared" si="41"/>
        <v>0</v>
      </c>
      <c r="AT203" s="561">
        <f t="shared" si="41"/>
        <v>7486</v>
      </c>
      <c r="AU203" s="559">
        <f t="shared" si="41"/>
        <v>0</v>
      </c>
      <c r="AV203" s="562">
        <f t="shared" si="41"/>
        <v>0</v>
      </c>
      <c r="AW203" s="558">
        <f t="shared" si="41"/>
        <v>0</v>
      </c>
      <c r="AX203" s="559">
        <f t="shared" si="41"/>
        <v>0</v>
      </c>
      <c r="AY203" s="560">
        <f t="shared" si="41"/>
        <v>0</v>
      </c>
      <c r="AZ203" s="561">
        <f t="shared" si="41"/>
        <v>0</v>
      </c>
      <c r="BA203" s="559">
        <f t="shared" si="41"/>
        <v>0</v>
      </c>
      <c r="BB203" s="562">
        <f t="shared" si="41"/>
        <v>0</v>
      </c>
      <c r="BC203" s="558">
        <f t="shared" si="41"/>
        <v>0</v>
      </c>
      <c r="BD203" s="559">
        <f t="shared" si="41"/>
        <v>0</v>
      </c>
      <c r="BE203" s="560">
        <f t="shared" si="41"/>
        <v>0</v>
      </c>
      <c r="BF203" s="561">
        <f t="shared" si="41"/>
        <v>1646605</v>
      </c>
      <c r="BG203" s="559">
        <f t="shared" si="41"/>
        <v>0</v>
      </c>
      <c r="BH203" s="562">
        <f t="shared" si="41"/>
        <v>0</v>
      </c>
      <c r="BI203" s="558">
        <f t="shared" si="41"/>
        <v>209861</v>
      </c>
      <c r="BJ203" s="559">
        <f t="shared" si="41"/>
        <v>483976</v>
      </c>
      <c r="BK203" s="560">
        <f t="shared" si="41"/>
        <v>0</v>
      </c>
      <c r="BL203" s="561">
        <f t="shared" si="41"/>
        <v>524459</v>
      </c>
      <c r="BM203" s="559">
        <f t="shared" si="41"/>
        <v>0</v>
      </c>
      <c r="BN203" s="562">
        <f t="shared" si="41"/>
        <v>0</v>
      </c>
      <c r="BO203" s="558">
        <f t="shared" si="41"/>
        <v>0</v>
      </c>
      <c r="BP203" s="559">
        <f t="shared" si="41"/>
        <v>0</v>
      </c>
      <c r="BQ203" s="560">
        <f t="shared" si="41"/>
        <v>0</v>
      </c>
      <c r="BR203" s="561">
        <f t="shared" si="41"/>
        <v>11604285</v>
      </c>
      <c r="BS203" s="559">
        <f t="shared" si="41"/>
        <v>3195706</v>
      </c>
      <c r="BT203" s="562">
        <f t="shared" si="41"/>
        <v>85000</v>
      </c>
      <c r="BU203" s="558">
        <f t="shared" si="41"/>
        <v>0</v>
      </c>
      <c r="BV203" s="559">
        <f t="shared" si="41"/>
        <v>0</v>
      </c>
      <c r="BW203" s="560">
        <f t="shared" si="41"/>
        <v>0</v>
      </c>
    </row>
    <row r="204" spans="1:75" ht="24">
      <c r="A204" s="470" t="s">
        <v>49</v>
      </c>
      <c r="B204" s="471">
        <v>52</v>
      </c>
      <c r="C204" s="471" t="s">
        <v>32</v>
      </c>
      <c r="D204" s="472">
        <v>3111</v>
      </c>
      <c r="E204" s="473" t="s">
        <v>50</v>
      </c>
      <c r="F204" s="474" t="s">
        <v>686</v>
      </c>
      <c r="G204" s="564">
        <f t="shared" ref="G204:I238" si="42">BR204+BU204</f>
        <v>3372313</v>
      </c>
      <c r="H204" s="565">
        <f t="shared" si="42"/>
        <v>3533000</v>
      </c>
      <c r="I204" s="566">
        <f t="shared" si="42"/>
        <v>3408000</v>
      </c>
      <c r="J204" s="567"/>
      <c r="K204" s="568"/>
      <c r="L204" s="569"/>
      <c r="M204" s="570"/>
      <c r="N204" s="568"/>
      <c r="O204" s="571"/>
      <c r="P204" s="567"/>
      <c r="Q204" s="568"/>
      <c r="R204" s="569"/>
      <c r="S204" s="570">
        <v>310000</v>
      </c>
      <c r="T204" s="568">
        <v>155000</v>
      </c>
      <c r="U204" s="571"/>
      <c r="V204" s="567"/>
      <c r="W204" s="568"/>
      <c r="X204" s="569"/>
      <c r="Y204" s="572">
        <f t="shared" ref="Y204:AA238" si="43">J204+M204+P204+S204+V204</f>
        <v>310000</v>
      </c>
      <c r="Z204" s="573">
        <f t="shared" si="43"/>
        <v>155000</v>
      </c>
      <c r="AA204" s="574">
        <f t="shared" si="43"/>
        <v>0</v>
      </c>
      <c r="AB204" s="567"/>
      <c r="AC204" s="568"/>
      <c r="AD204" s="569"/>
      <c r="AE204" s="570"/>
      <c r="AF204" s="568"/>
      <c r="AG204" s="571"/>
      <c r="AH204" s="567">
        <f>117720+117720</f>
        <v>235440</v>
      </c>
      <c r="AI204" s="568"/>
      <c r="AJ204" s="569"/>
      <c r="AK204" s="570"/>
      <c r="AL204" s="568"/>
      <c r="AM204" s="571"/>
      <c r="AN204" s="567"/>
      <c r="AO204" s="568"/>
      <c r="AP204" s="569"/>
      <c r="AQ204" s="570">
        <v>620000</v>
      </c>
      <c r="AR204" s="568">
        <v>758000</v>
      </c>
      <c r="AS204" s="571">
        <v>758000</v>
      </c>
      <c r="AT204" s="567"/>
      <c r="AU204" s="568"/>
      <c r="AV204" s="569"/>
      <c r="AW204" s="570">
        <v>270000</v>
      </c>
      <c r="AX204" s="568"/>
      <c r="AY204" s="571"/>
      <c r="AZ204" s="567"/>
      <c r="BA204" s="568"/>
      <c r="BB204" s="569"/>
      <c r="BC204" s="570"/>
      <c r="BD204" s="568"/>
      <c r="BE204" s="571"/>
      <c r="BF204" s="567">
        <v>10000</v>
      </c>
      <c r="BG204" s="568"/>
      <c r="BH204" s="569"/>
      <c r="BI204" s="570"/>
      <c r="BJ204" s="568"/>
      <c r="BK204" s="571"/>
      <c r="BL204" s="567">
        <f>290443+86430</f>
        <v>376873</v>
      </c>
      <c r="BM204" s="568">
        <v>700000</v>
      </c>
      <c r="BN204" s="569">
        <v>700000</v>
      </c>
      <c r="BO204" s="570">
        <f>1900000-350000</f>
        <v>1550000</v>
      </c>
      <c r="BP204" s="568">
        <v>1920000</v>
      </c>
      <c r="BQ204" s="571">
        <v>1950000</v>
      </c>
      <c r="BR204" s="575">
        <f t="shared" ref="BR204:BT238" si="44">AB204+AE204+AH204+AK204+AN204+AQ204+AT204+AW204+AZ204+BC204+BF204+BI204+BL204+BO204+Y204</f>
        <v>3372313</v>
      </c>
      <c r="BS204" s="576">
        <f t="shared" si="44"/>
        <v>3533000</v>
      </c>
      <c r="BT204" s="577">
        <f t="shared" si="44"/>
        <v>3408000</v>
      </c>
      <c r="BU204" s="578"/>
      <c r="BV204" s="579"/>
      <c r="BW204" s="580"/>
    </row>
    <row r="205" spans="1:75" ht="24">
      <c r="A205" s="470" t="s">
        <v>49</v>
      </c>
      <c r="B205" s="471">
        <v>52</v>
      </c>
      <c r="C205" s="471" t="s">
        <v>32</v>
      </c>
      <c r="D205" s="472">
        <v>3113</v>
      </c>
      <c r="E205" s="473" t="s">
        <v>751</v>
      </c>
      <c r="F205" s="474" t="s">
        <v>686</v>
      </c>
      <c r="G205" s="497">
        <f t="shared" si="42"/>
        <v>44004</v>
      </c>
      <c r="H205" s="498">
        <f t="shared" si="42"/>
        <v>0</v>
      </c>
      <c r="I205" s="499">
        <f t="shared" si="42"/>
        <v>0</v>
      </c>
      <c r="J205" s="500"/>
      <c r="K205" s="501"/>
      <c r="L205" s="502"/>
      <c r="M205" s="503"/>
      <c r="N205" s="501"/>
      <c r="O205" s="504"/>
      <c r="P205" s="500"/>
      <c r="Q205" s="501"/>
      <c r="R205" s="502"/>
      <c r="S205" s="503"/>
      <c r="T205" s="501"/>
      <c r="U205" s="504"/>
      <c r="V205" s="500"/>
      <c r="W205" s="501"/>
      <c r="X205" s="502"/>
      <c r="Y205" s="505">
        <f t="shared" si="43"/>
        <v>0</v>
      </c>
      <c r="Z205" s="506">
        <f t="shared" si="43"/>
        <v>0</v>
      </c>
      <c r="AA205" s="507">
        <f t="shared" si="43"/>
        <v>0</v>
      </c>
      <c r="AB205" s="500"/>
      <c r="AC205" s="501"/>
      <c r="AD205" s="502"/>
      <c r="AE205" s="503"/>
      <c r="AF205" s="501"/>
      <c r="AG205" s="504"/>
      <c r="AH205" s="500"/>
      <c r="AI205" s="501"/>
      <c r="AJ205" s="502"/>
      <c r="AK205" s="503"/>
      <c r="AL205" s="501"/>
      <c r="AM205" s="504"/>
      <c r="AN205" s="500"/>
      <c r="AO205" s="501"/>
      <c r="AP205" s="502"/>
      <c r="AQ205" s="503"/>
      <c r="AR205" s="501"/>
      <c r="AS205" s="504"/>
      <c r="AT205" s="500"/>
      <c r="AU205" s="501"/>
      <c r="AV205" s="502"/>
      <c r="AW205" s="503"/>
      <c r="AX205" s="501"/>
      <c r="AY205" s="504"/>
      <c r="AZ205" s="500"/>
      <c r="BA205" s="501"/>
      <c r="BB205" s="502"/>
      <c r="BC205" s="503"/>
      <c r="BD205" s="501"/>
      <c r="BE205" s="504"/>
      <c r="BF205" s="500">
        <v>44004</v>
      </c>
      <c r="BG205" s="501"/>
      <c r="BH205" s="502"/>
      <c r="BI205" s="503"/>
      <c r="BJ205" s="501"/>
      <c r="BK205" s="504"/>
      <c r="BL205" s="500"/>
      <c r="BM205" s="501"/>
      <c r="BN205" s="502"/>
      <c r="BO205" s="503"/>
      <c r="BP205" s="501"/>
      <c r="BQ205" s="504"/>
      <c r="BR205" s="513">
        <f t="shared" si="44"/>
        <v>44004</v>
      </c>
      <c r="BS205" s="514">
        <f t="shared" si="44"/>
        <v>0</v>
      </c>
      <c r="BT205" s="515">
        <f t="shared" si="44"/>
        <v>0</v>
      </c>
      <c r="BU205" s="516"/>
      <c r="BV205" s="517"/>
      <c r="BW205" s="518"/>
    </row>
    <row r="206" spans="1:75" ht="24">
      <c r="A206" s="470" t="s">
        <v>49</v>
      </c>
      <c r="B206" s="471">
        <v>52</v>
      </c>
      <c r="C206" s="471" t="s">
        <v>32</v>
      </c>
      <c r="D206" s="521">
        <v>3121</v>
      </c>
      <c r="E206" s="522" t="s">
        <v>51</v>
      </c>
      <c r="F206" s="474" t="s">
        <v>686</v>
      </c>
      <c r="G206" s="497">
        <f t="shared" si="42"/>
        <v>170296</v>
      </c>
      <c r="H206" s="498">
        <f t="shared" si="42"/>
        <v>165100</v>
      </c>
      <c r="I206" s="499">
        <f t="shared" si="42"/>
        <v>162100</v>
      </c>
      <c r="J206" s="500"/>
      <c r="K206" s="501"/>
      <c r="L206" s="502"/>
      <c r="M206" s="503"/>
      <c r="N206" s="501"/>
      <c r="O206" s="504"/>
      <c r="P206" s="500"/>
      <c r="Q206" s="501"/>
      <c r="R206" s="502"/>
      <c r="S206" s="503">
        <v>6000</v>
      </c>
      <c r="T206" s="501">
        <v>3000</v>
      </c>
      <c r="U206" s="504"/>
      <c r="V206" s="500"/>
      <c r="W206" s="501"/>
      <c r="X206" s="502"/>
      <c r="Y206" s="505">
        <f t="shared" si="43"/>
        <v>6000</v>
      </c>
      <c r="Z206" s="506">
        <f t="shared" si="43"/>
        <v>3000</v>
      </c>
      <c r="AA206" s="507">
        <f t="shared" si="43"/>
        <v>0</v>
      </c>
      <c r="AB206" s="500"/>
      <c r="AC206" s="501"/>
      <c r="AD206" s="502"/>
      <c r="AE206" s="503"/>
      <c r="AF206" s="501"/>
      <c r="AG206" s="504"/>
      <c r="AH206" s="500">
        <v>14312</v>
      </c>
      <c r="AI206" s="501"/>
      <c r="AJ206" s="502"/>
      <c r="AK206" s="503"/>
      <c r="AL206" s="501"/>
      <c r="AM206" s="504"/>
      <c r="AN206" s="500"/>
      <c r="AO206" s="501"/>
      <c r="AP206" s="502"/>
      <c r="AQ206" s="503"/>
      <c r="AR206" s="501"/>
      <c r="AS206" s="504"/>
      <c r="AT206" s="500"/>
      <c r="AU206" s="501"/>
      <c r="AV206" s="502"/>
      <c r="AW206" s="503"/>
      <c r="AX206" s="501"/>
      <c r="AY206" s="504"/>
      <c r="AZ206" s="500"/>
      <c r="BA206" s="501"/>
      <c r="BB206" s="502"/>
      <c r="BC206" s="503"/>
      <c r="BD206" s="501"/>
      <c r="BE206" s="504"/>
      <c r="BF206" s="500"/>
      <c r="BG206" s="501"/>
      <c r="BH206" s="502"/>
      <c r="BI206" s="503"/>
      <c r="BJ206" s="501"/>
      <c r="BK206" s="504"/>
      <c r="BL206" s="500"/>
      <c r="BM206" s="501"/>
      <c r="BN206" s="502"/>
      <c r="BO206" s="503">
        <f>162100-12116</f>
        <v>149984</v>
      </c>
      <c r="BP206" s="501">
        <v>162100</v>
      </c>
      <c r="BQ206" s="504">
        <v>162100</v>
      </c>
      <c r="BR206" s="513">
        <f t="shared" si="44"/>
        <v>170296</v>
      </c>
      <c r="BS206" s="514">
        <f t="shared" si="44"/>
        <v>165100</v>
      </c>
      <c r="BT206" s="515">
        <f t="shared" si="44"/>
        <v>162100</v>
      </c>
      <c r="BU206" s="516"/>
      <c r="BV206" s="517"/>
      <c r="BW206" s="518"/>
    </row>
    <row r="207" spans="1:75" ht="36">
      <c r="A207" s="470" t="s">
        <v>49</v>
      </c>
      <c r="B207" s="471">
        <v>52</v>
      </c>
      <c r="C207" s="471" t="s">
        <v>32</v>
      </c>
      <c r="D207" s="521">
        <v>3132</v>
      </c>
      <c r="E207" s="522" t="s">
        <v>52</v>
      </c>
      <c r="F207" s="474" t="s">
        <v>686</v>
      </c>
      <c r="G207" s="497">
        <f t="shared" si="42"/>
        <v>425237</v>
      </c>
      <c r="H207" s="498">
        <f t="shared" si="42"/>
        <v>378645</v>
      </c>
      <c r="I207" s="499">
        <f t="shared" si="42"/>
        <v>383645</v>
      </c>
      <c r="J207" s="500"/>
      <c r="K207" s="501"/>
      <c r="L207" s="502"/>
      <c r="M207" s="503"/>
      <c r="N207" s="501"/>
      <c r="O207" s="504"/>
      <c r="P207" s="500"/>
      <c r="Q207" s="501"/>
      <c r="R207" s="502"/>
      <c r="S207" s="503"/>
      <c r="T207" s="501"/>
      <c r="U207" s="504"/>
      <c r="V207" s="500"/>
      <c r="W207" s="501"/>
      <c r="X207" s="502"/>
      <c r="Y207" s="505">
        <f t="shared" si="43"/>
        <v>0</v>
      </c>
      <c r="Z207" s="506">
        <f t="shared" si="43"/>
        <v>0</v>
      </c>
      <c r="AA207" s="507">
        <f t="shared" si="43"/>
        <v>0</v>
      </c>
      <c r="AB207" s="500"/>
      <c r="AC207" s="501"/>
      <c r="AD207" s="502"/>
      <c r="AE207" s="503"/>
      <c r="AF207" s="501"/>
      <c r="AG207" s="504"/>
      <c r="AH207" s="500">
        <f>19424+19424</f>
        <v>38848</v>
      </c>
      <c r="AI207" s="501"/>
      <c r="AJ207" s="502"/>
      <c r="AK207" s="503"/>
      <c r="AL207" s="501"/>
      <c r="AM207" s="504"/>
      <c r="AN207" s="500"/>
      <c r="AO207" s="501"/>
      <c r="AP207" s="502"/>
      <c r="AQ207" s="503">
        <v>93616</v>
      </c>
      <c r="AR207" s="501">
        <v>113645</v>
      </c>
      <c r="AS207" s="504">
        <v>113645</v>
      </c>
      <c r="AT207" s="500"/>
      <c r="AU207" s="501"/>
      <c r="AV207" s="502"/>
      <c r="AW207" s="503">
        <v>30000</v>
      </c>
      <c r="AX207" s="501"/>
      <c r="AY207" s="504"/>
      <c r="AZ207" s="500"/>
      <c r="BA207" s="501"/>
      <c r="BB207" s="502"/>
      <c r="BC207" s="503"/>
      <c r="BD207" s="501"/>
      <c r="BE207" s="504"/>
      <c r="BF207" s="500">
        <v>14850</v>
      </c>
      <c r="BG207" s="501"/>
      <c r="BH207" s="502"/>
      <c r="BI207" s="503"/>
      <c r="BJ207" s="501"/>
      <c r="BK207" s="504"/>
      <c r="BL207" s="500">
        <v>47923</v>
      </c>
      <c r="BM207" s="501"/>
      <c r="BN207" s="502"/>
      <c r="BO207" s="503">
        <f>250000-50000</f>
        <v>200000</v>
      </c>
      <c r="BP207" s="501">
        <v>265000</v>
      </c>
      <c r="BQ207" s="504">
        <v>270000</v>
      </c>
      <c r="BR207" s="513">
        <f t="shared" si="44"/>
        <v>425237</v>
      </c>
      <c r="BS207" s="514">
        <f t="shared" si="44"/>
        <v>378645</v>
      </c>
      <c r="BT207" s="515">
        <f t="shared" si="44"/>
        <v>383645</v>
      </c>
      <c r="BU207" s="516"/>
      <c r="BV207" s="517"/>
      <c r="BW207" s="518"/>
    </row>
    <row r="208" spans="1:75" ht="24">
      <c r="A208" s="470" t="s">
        <v>49</v>
      </c>
      <c r="B208" s="471">
        <v>52</v>
      </c>
      <c r="C208" s="471" t="s">
        <v>32</v>
      </c>
      <c r="D208" s="521">
        <v>3211</v>
      </c>
      <c r="E208" s="522" t="s">
        <v>60</v>
      </c>
      <c r="F208" s="474" t="s">
        <v>686</v>
      </c>
      <c r="G208" s="497">
        <f t="shared" si="42"/>
        <v>465709</v>
      </c>
      <c r="H208" s="498">
        <f t="shared" si="42"/>
        <v>60944</v>
      </c>
      <c r="I208" s="499">
        <f t="shared" si="42"/>
        <v>40000</v>
      </c>
      <c r="J208" s="500">
        <v>15000</v>
      </c>
      <c r="K208" s="501">
        <v>15000</v>
      </c>
      <c r="L208" s="502">
        <v>15000</v>
      </c>
      <c r="M208" s="503"/>
      <c r="N208" s="501"/>
      <c r="O208" s="504"/>
      <c r="P208" s="500"/>
      <c r="Q208" s="501"/>
      <c r="R208" s="502"/>
      <c r="S208" s="503">
        <v>22925</v>
      </c>
      <c r="T208" s="501"/>
      <c r="U208" s="504"/>
      <c r="V208" s="500">
        <v>31284</v>
      </c>
      <c r="W208" s="501"/>
      <c r="X208" s="502"/>
      <c r="Y208" s="505">
        <f t="shared" si="43"/>
        <v>69209</v>
      </c>
      <c r="Z208" s="506">
        <f t="shared" si="43"/>
        <v>15000</v>
      </c>
      <c r="AA208" s="507">
        <f t="shared" si="43"/>
        <v>15000</v>
      </c>
      <c r="AB208" s="500"/>
      <c r="AC208" s="501"/>
      <c r="AD208" s="502"/>
      <c r="AE208" s="503"/>
      <c r="AF208" s="501"/>
      <c r="AG208" s="504"/>
      <c r="AH208" s="500">
        <v>25500</v>
      </c>
      <c r="AI208" s="501">
        <v>20944</v>
      </c>
      <c r="AJ208" s="502"/>
      <c r="AK208" s="503"/>
      <c r="AL208" s="501"/>
      <c r="AM208" s="504"/>
      <c r="AN208" s="500"/>
      <c r="AO208" s="501"/>
      <c r="AP208" s="502"/>
      <c r="AQ208" s="503"/>
      <c r="AR208" s="501"/>
      <c r="AS208" s="504"/>
      <c r="AT208" s="500"/>
      <c r="AU208" s="501"/>
      <c r="AV208" s="502"/>
      <c r="AW208" s="503"/>
      <c r="AX208" s="501"/>
      <c r="AY208" s="504"/>
      <c r="AZ208" s="500"/>
      <c r="BA208" s="501"/>
      <c r="BB208" s="502"/>
      <c r="BC208" s="503"/>
      <c r="BD208" s="501"/>
      <c r="BE208" s="504"/>
      <c r="BF208" s="500">
        <f>20000+85000</f>
        <v>105000</v>
      </c>
      <c r="BG208" s="501">
        <v>20000</v>
      </c>
      <c r="BH208" s="502">
        <v>20000</v>
      </c>
      <c r="BI208" s="503">
        <f>5000+126000</f>
        <v>131000</v>
      </c>
      <c r="BJ208" s="501"/>
      <c r="BK208" s="504"/>
      <c r="BL208" s="500">
        <f>5000+130000</f>
        <v>135000</v>
      </c>
      <c r="BM208" s="501">
        <v>5000</v>
      </c>
      <c r="BN208" s="502">
        <v>5000</v>
      </c>
      <c r="BO208" s="503"/>
      <c r="BP208" s="501"/>
      <c r="BQ208" s="504"/>
      <c r="BR208" s="513">
        <f t="shared" si="44"/>
        <v>465709</v>
      </c>
      <c r="BS208" s="514">
        <f t="shared" si="44"/>
        <v>60944</v>
      </c>
      <c r="BT208" s="515">
        <f t="shared" si="44"/>
        <v>40000</v>
      </c>
      <c r="BU208" s="516"/>
      <c r="BV208" s="517"/>
      <c r="BW208" s="518"/>
    </row>
    <row r="209" spans="1:75" ht="36">
      <c r="A209" s="470" t="s">
        <v>49</v>
      </c>
      <c r="B209" s="471">
        <v>52</v>
      </c>
      <c r="C209" s="471" t="s">
        <v>32</v>
      </c>
      <c r="D209" s="521">
        <v>3212</v>
      </c>
      <c r="E209" s="522" t="s">
        <v>754</v>
      </c>
      <c r="F209" s="474" t="s">
        <v>686</v>
      </c>
      <c r="G209" s="497">
        <f t="shared" si="42"/>
        <v>39539</v>
      </c>
      <c r="H209" s="498">
        <f t="shared" si="42"/>
        <v>31750</v>
      </c>
      <c r="I209" s="499">
        <f t="shared" si="42"/>
        <v>30000</v>
      </c>
      <c r="J209" s="500"/>
      <c r="K209" s="501"/>
      <c r="L209" s="502"/>
      <c r="M209" s="503"/>
      <c r="N209" s="501"/>
      <c r="O209" s="504"/>
      <c r="P209" s="500"/>
      <c r="Q209" s="501"/>
      <c r="R209" s="502"/>
      <c r="S209" s="503">
        <v>7500</v>
      </c>
      <c r="T209" s="501">
        <v>3750</v>
      </c>
      <c r="U209" s="504"/>
      <c r="V209" s="500"/>
      <c r="W209" s="501"/>
      <c r="X209" s="502"/>
      <c r="Y209" s="505">
        <f t="shared" si="43"/>
        <v>7500</v>
      </c>
      <c r="Z209" s="506">
        <f t="shared" si="43"/>
        <v>3750</v>
      </c>
      <c r="AA209" s="507">
        <f t="shared" si="43"/>
        <v>0</v>
      </c>
      <c r="AB209" s="500"/>
      <c r="AC209" s="501"/>
      <c r="AD209" s="502"/>
      <c r="AE209" s="503"/>
      <c r="AF209" s="501"/>
      <c r="AG209" s="504"/>
      <c r="AH209" s="500"/>
      <c r="AI209" s="501"/>
      <c r="AJ209" s="502"/>
      <c r="AK209" s="503"/>
      <c r="AL209" s="501"/>
      <c r="AM209" s="504"/>
      <c r="AN209" s="500"/>
      <c r="AO209" s="501"/>
      <c r="AP209" s="502"/>
      <c r="AQ209" s="503"/>
      <c r="AR209" s="501"/>
      <c r="AS209" s="504"/>
      <c r="AT209" s="500"/>
      <c r="AU209" s="501"/>
      <c r="AV209" s="502"/>
      <c r="AW209" s="503"/>
      <c r="AX209" s="501"/>
      <c r="AY209" s="504"/>
      <c r="AZ209" s="500"/>
      <c r="BA209" s="501"/>
      <c r="BB209" s="502"/>
      <c r="BC209" s="503"/>
      <c r="BD209" s="501"/>
      <c r="BE209" s="504"/>
      <c r="BF209" s="500"/>
      <c r="BG209" s="501"/>
      <c r="BH209" s="502"/>
      <c r="BI209" s="503"/>
      <c r="BJ209" s="501"/>
      <c r="BK209" s="504"/>
      <c r="BL209" s="500">
        <v>5039</v>
      </c>
      <c r="BM209" s="501"/>
      <c r="BN209" s="502"/>
      <c r="BO209" s="503">
        <v>27000</v>
      </c>
      <c r="BP209" s="501">
        <v>28000</v>
      </c>
      <c r="BQ209" s="504">
        <v>30000</v>
      </c>
      <c r="BR209" s="513">
        <f t="shared" si="44"/>
        <v>39539</v>
      </c>
      <c r="BS209" s="514">
        <f t="shared" si="44"/>
        <v>31750</v>
      </c>
      <c r="BT209" s="515">
        <f t="shared" si="44"/>
        <v>30000</v>
      </c>
      <c r="BU209" s="516"/>
      <c r="BV209" s="517"/>
      <c r="BW209" s="518"/>
    </row>
    <row r="210" spans="1:75" ht="24">
      <c r="A210" s="470" t="s">
        <v>49</v>
      </c>
      <c r="B210" s="471">
        <v>52</v>
      </c>
      <c r="C210" s="471" t="s">
        <v>32</v>
      </c>
      <c r="D210" s="521">
        <v>3213</v>
      </c>
      <c r="E210" s="522" t="s">
        <v>64</v>
      </c>
      <c r="F210" s="474" t="s">
        <v>686</v>
      </c>
      <c r="G210" s="497">
        <f t="shared" si="42"/>
        <v>66041</v>
      </c>
      <c r="H210" s="498">
        <f t="shared" si="42"/>
        <v>9500</v>
      </c>
      <c r="I210" s="499">
        <f t="shared" si="42"/>
        <v>0</v>
      </c>
      <c r="J210" s="500"/>
      <c r="K210" s="501"/>
      <c r="L210" s="502"/>
      <c r="M210" s="503"/>
      <c r="N210" s="501"/>
      <c r="O210" s="504"/>
      <c r="P210" s="500"/>
      <c r="Q210" s="501"/>
      <c r="R210" s="502"/>
      <c r="S210" s="503">
        <v>5500</v>
      </c>
      <c r="T210" s="501">
        <v>9500</v>
      </c>
      <c r="U210" s="504"/>
      <c r="V210" s="500"/>
      <c r="W210" s="501"/>
      <c r="X210" s="502"/>
      <c r="Y210" s="505">
        <f t="shared" si="43"/>
        <v>5500</v>
      </c>
      <c r="Z210" s="506">
        <f t="shared" si="43"/>
        <v>9500</v>
      </c>
      <c r="AA210" s="507">
        <f t="shared" si="43"/>
        <v>0</v>
      </c>
      <c r="AB210" s="500"/>
      <c r="AC210" s="501"/>
      <c r="AD210" s="502"/>
      <c r="AE210" s="503"/>
      <c r="AF210" s="501"/>
      <c r="AG210" s="504"/>
      <c r="AH210" s="500"/>
      <c r="AI210" s="501"/>
      <c r="AJ210" s="502"/>
      <c r="AK210" s="503"/>
      <c r="AL210" s="501"/>
      <c r="AM210" s="504"/>
      <c r="AN210" s="500"/>
      <c r="AO210" s="501"/>
      <c r="AP210" s="502"/>
      <c r="AQ210" s="503"/>
      <c r="AR210" s="501"/>
      <c r="AS210" s="504"/>
      <c r="AT210" s="500"/>
      <c r="AU210" s="501"/>
      <c r="AV210" s="502"/>
      <c r="AW210" s="503"/>
      <c r="AX210" s="501"/>
      <c r="AY210" s="504"/>
      <c r="AZ210" s="500"/>
      <c r="BA210" s="501"/>
      <c r="BB210" s="502"/>
      <c r="BC210" s="503"/>
      <c r="BD210" s="501"/>
      <c r="BE210" s="504"/>
      <c r="BF210" s="500"/>
      <c r="BG210" s="501"/>
      <c r="BH210" s="502"/>
      <c r="BI210" s="503"/>
      <c r="BJ210" s="501"/>
      <c r="BK210" s="504"/>
      <c r="BL210" s="500">
        <v>60541</v>
      </c>
      <c r="BM210" s="501"/>
      <c r="BN210" s="502"/>
      <c r="BO210" s="503"/>
      <c r="BP210" s="501"/>
      <c r="BQ210" s="504"/>
      <c r="BR210" s="513">
        <f t="shared" si="44"/>
        <v>66041</v>
      </c>
      <c r="BS210" s="514">
        <f t="shared" si="44"/>
        <v>9500</v>
      </c>
      <c r="BT210" s="515">
        <f t="shared" si="44"/>
        <v>0</v>
      </c>
      <c r="BU210" s="516"/>
      <c r="BV210" s="517"/>
      <c r="BW210" s="518"/>
    </row>
    <row r="211" spans="1:75" ht="36">
      <c r="A211" s="470" t="s">
        <v>49</v>
      </c>
      <c r="B211" s="471">
        <v>52</v>
      </c>
      <c r="C211" s="471" t="s">
        <v>32</v>
      </c>
      <c r="D211" s="521">
        <v>3221</v>
      </c>
      <c r="E211" s="522" t="s">
        <v>65</v>
      </c>
      <c r="F211" s="474" t="s">
        <v>686</v>
      </c>
      <c r="G211" s="497">
        <f t="shared" si="42"/>
        <v>230326</v>
      </c>
      <c r="H211" s="498">
        <f t="shared" si="42"/>
        <v>110000</v>
      </c>
      <c r="I211" s="499">
        <f t="shared" si="42"/>
        <v>82300</v>
      </c>
      <c r="J211" s="500"/>
      <c r="K211" s="501"/>
      <c r="L211" s="502"/>
      <c r="M211" s="503"/>
      <c r="N211" s="501"/>
      <c r="O211" s="504"/>
      <c r="P211" s="500"/>
      <c r="Q211" s="501"/>
      <c r="R211" s="502"/>
      <c r="S211" s="503">
        <v>32000</v>
      </c>
      <c r="T211" s="501">
        <v>32000</v>
      </c>
      <c r="U211" s="504"/>
      <c r="V211" s="500"/>
      <c r="W211" s="501"/>
      <c r="X211" s="502"/>
      <c r="Y211" s="505">
        <f t="shared" si="43"/>
        <v>32000</v>
      </c>
      <c r="Z211" s="506">
        <f t="shared" si="43"/>
        <v>32000</v>
      </c>
      <c r="AA211" s="507">
        <f t="shared" si="43"/>
        <v>0</v>
      </c>
      <c r="AB211" s="500"/>
      <c r="AC211" s="501"/>
      <c r="AD211" s="502"/>
      <c r="AE211" s="503"/>
      <c r="AF211" s="501"/>
      <c r="AG211" s="504"/>
      <c r="AH211" s="500"/>
      <c r="AI211" s="501"/>
      <c r="AJ211" s="502"/>
      <c r="AK211" s="503"/>
      <c r="AL211" s="501"/>
      <c r="AM211" s="504"/>
      <c r="AN211" s="500"/>
      <c r="AO211" s="501"/>
      <c r="AP211" s="502"/>
      <c r="AQ211" s="503"/>
      <c r="AR211" s="501"/>
      <c r="AS211" s="504"/>
      <c r="AT211" s="500"/>
      <c r="AU211" s="501"/>
      <c r="AV211" s="502"/>
      <c r="AW211" s="503">
        <v>66026</v>
      </c>
      <c r="AX211" s="501"/>
      <c r="AY211" s="504"/>
      <c r="AZ211" s="500"/>
      <c r="BA211" s="501"/>
      <c r="BB211" s="502"/>
      <c r="BC211" s="503"/>
      <c r="BD211" s="501"/>
      <c r="BE211" s="504"/>
      <c r="BF211" s="500">
        <f>50000+50000</f>
        <v>100000</v>
      </c>
      <c r="BG211" s="501">
        <v>50000</v>
      </c>
      <c r="BH211" s="502">
        <v>50000</v>
      </c>
      <c r="BI211" s="503"/>
      <c r="BJ211" s="501"/>
      <c r="BK211" s="504"/>
      <c r="BL211" s="500">
        <v>10000</v>
      </c>
      <c r="BM211" s="501">
        <v>10000</v>
      </c>
      <c r="BN211" s="502">
        <v>10000</v>
      </c>
      <c r="BO211" s="503">
        <v>22300</v>
      </c>
      <c r="BP211" s="501">
        <v>18000</v>
      </c>
      <c r="BQ211" s="504">
        <v>22300</v>
      </c>
      <c r="BR211" s="513">
        <f t="shared" si="44"/>
        <v>230326</v>
      </c>
      <c r="BS211" s="514">
        <f t="shared" si="44"/>
        <v>110000</v>
      </c>
      <c r="BT211" s="515">
        <f t="shared" si="44"/>
        <v>82300</v>
      </c>
      <c r="BU211" s="516"/>
      <c r="BV211" s="517"/>
      <c r="BW211" s="518"/>
    </row>
    <row r="212" spans="1:75" ht="24">
      <c r="A212" s="470" t="s">
        <v>49</v>
      </c>
      <c r="B212" s="471">
        <v>52</v>
      </c>
      <c r="C212" s="471" t="s">
        <v>32</v>
      </c>
      <c r="D212" s="521">
        <v>3222</v>
      </c>
      <c r="E212" s="522" t="s">
        <v>76</v>
      </c>
      <c r="F212" s="474" t="s">
        <v>686</v>
      </c>
      <c r="G212" s="497">
        <f t="shared" si="42"/>
        <v>67000</v>
      </c>
      <c r="H212" s="498">
        <f t="shared" si="42"/>
        <v>310000</v>
      </c>
      <c r="I212" s="499">
        <f t="shared" si="42"/>
        <v>310000</v>
      </c>
      <c r="J212" s="500"/>
      <c r="K212" s="501"/>
      <c r="L212" s="502"/>
      <c r="M212" s="503"/>
      <c r="N212" s="501"/>
      <c r="O212" s="504"/>
      <c r="P212" s="500"/>
      <c r="Q212" s="501"/>
      <c r="R212" s="502"/>
      <c r="S212" s="503"/>
      <c r="T212" s="501"/>
      <c r="U212" s="504"/>
      <c r="V212" s="500"/>
      <c r="W212" s="501"/>
      <c r="X212" s="502"/>
      <c r="Y212" s="505">
        <f t="shared" si="43"/>
        <v>0</v>
      </c>
      <c r="Z212" s="506">
        <f t="shared" si="43"/>
        <v>0</v>
      </c>
      <c r="AA212" s="507">
        <f t="shared" si="43"/>
        <v>0</v>
      </c>
      <c r="AB212" s="500"/>
      <c r="AC212" s="501"/>
      <c r="AD212" s="502"/>
      <c r="AE212" s="503"/>
      <c r="AF212" s="501"/>
      <c r="AG212" s="504"/>
      <c r="AH212" s="500"/>
      <c r="AI212" s="501"/>
      <c r="AJ212" s="502"/>
      <c r="AK212" s="503"/>
      <c r="AL212" s="501"/>
      <c r="AM212" s="504"/>
      <c r="AN212" s="500"/>
      <c r="AO212" s="501"/>
      <c r="AP212" s="502"/>
      <c r="AQ212" s="503"/>
      <c r="AR212" s="501"/>
      <c r="AS212" s="504"/>
      <c r="AT212" s="500"/>
      <c r="AU212" s="501"/>
      <c r="AV212" s="502"/>
      <c r="AW212" s="503"/>
      <c r="AX212" s="501"/>
      <c r="AY212" s="504"/>
      <c r="AZ212" s="500"/>
      <c r="BA212" s="501"/>
      <c r="BB212" s="502"/>
      <c r="BC212" s="503"/>
      <c r="BD212" s="501"/>
      <c r="BE212" s="504"/>
      <c r="BF212" s="500"/>
      <c r="BG212" s="501"/>
      <c r="BH212" s="502"/>
      <c r="BI212" s="503"/>
      <c r="BJ212" s="501"/>
      <c r="BK212" s="504"/>
      <c r="BL212" s="500">
        <f>10000+57000</f>
        <v>67000</v>
      </c>
      <c r="BM212" s="501">
        <f>10000+300000</f>
        <v>310000</v>
      </c>
      <c r="BN212" s="502">
        <f>10000+300000</f>
        <v>310000</v>
      </c>
      <c r="BO212" s="503"/>
      <c r="BP212" s="501"/>
      <c r="BQ212" s="504"/>
      <c r="BR212" s="513">
        <f t="shared" si="44"/>
        <v>67000</v>
      </c>
      <c r="BS212" s="514">
        <f t="shared" si="44"/>
        <v>310000</v>
      </c>
      <c r="BT212" s="515">
        <f t="shared" si="44"/>
        <v>310000</v>
      </c>
      <c r="BU212" s="516"/>
      <c r="BV212" s="517"/>
      <c r="BW212" s="518"/>
    </row>
    <row r="213" spans="1:75" ht="24">
      <c r="A213" s="470" t="s">
        <v>49</v>
      </c>
      <c r="B213" s="471">
        <v>52</v>
      </c>
      <c r="C213" s="471" t="s">
        <v>32</v>
      </c>
      <c r="D213" s="521">
        <v>3223</v>
      </c>
      <c r="E213" s="522" t="s">
        <v>77</v>
      </c>
      <c r="F213" s="474" t="s">
        <v>686</v>
      </c>
      <c r="G213" s="497">
        <f t="shared" si="42"/>
        <v>85000</v>
      </c>
      <c r="H213" s="498">
        <f t="shared" si="42"/>
        <v>100000</v>
      </c>
      <c r="I213" s="499">
        <f t="shared" si="42"/>
        <v>103000</v>
      </c>
      <c r="J213" s="500"/>
      <c r="K213" s="501"/>
      <c r="L213" s="502"/>
      <c r="M213" s="503"/>
      <c r="N213" s="501"/>
      <c r="O213" s="504"/>
      <c r="P213" s="500"/>
      <c r="Q213" s="501"/>
      <c r="R213" s="502"/>
      <c r="S213" s="503"/>
      <c r="T213" s="501"/>
      <c r="U213" s="504"/>
      <c r="V213" s="500"/>
      <c r="W213" s="501"/>
      <c r="X213" s="502"/>
      <c r="Y213" s="505">
        <f t="shared" si="43"/>
        <v>0</v>
      </c>
      <c r="Z213" s="506">
        <f t="shared" si="43"/>
        <v>0</v>
      </c>
      <c r="AA213" s="507">
        <f t="shared" si="43"/>
        <v>0</v>
      </c>
      <c r="AB213" s="500"/>
      <c r="AC213" s="501"/>
      <c r="AD213" s="502"/>
      <c r="AE213" s="503"/>
      <c r="AF213" s="501"/>
      <c r="AG213" s="504"/>
      <c r="AH213" s="500"/>
      <c r="AI213" s="501"/>
      <c r="AJ213" s="502"/>
      <c r="AK213" s="503"/>
      <c r="AL213" s="501"/>
      <c r="AM213" s="504"/>
      <c r="AN213" s="500"/>
      <c r="AO213" s="501"/>
      <c r="AP213" s="502"/>
      <c r="AQ213" s="503"/>
      <c r="AR213" s="501"/>
      <c r="AS213" s="504"/>
      <c r="AT213" s="500"/>
      <c r="AU213" s="501"/>
      <c r="AV213" s="502"/>
      <c r="AW213" s="503"/>
      <c r="AX213" s="501"/>
      <c r="AY213" s="504"/>
      <c r="AZ213" s="500">
        <f>80000-15000</f>
        <v>65000</v>
      </c>
      <c r="BA213" s="501">
        <v>80000</v>
      </c>
      <c r="BB213" s="502">
        <v>80000</v>
      </c>
      <c r="BC213" s="503"/>
      <c r="BD213" s="501"/>
      <c r="BE213" s="504"/>
      <c r="BF213" s="500"/>
      <c r="BG213" s="501"/>
      <c r="BH213" s="502"/>
      <c r="BI213" s="503"/>
      <c r="BJ213" s="501"/>
      <c r="BK213" s="504"/>
      <c r="BL213" s="500"/>
      <c r="BM213" s="501"/>
      <c r="BN213" s="502"/>
      <c r="BO213" s="503">
        <v>20000</v>
      </c>
      <c r="BP213" s="501">
        <v>20000</v>
      </c>
      <c r="BQ213" s="504">
        <v>23000</v>
      </c>
      <c r="BR213" s="513">
        <f t="shared" si="44"/>
        <v>85000</v>
      </c>
      <c r="BS213" s="514">
        <f t="shared" si="44"/>
        <v>100000</v>
      </c>
      <c r="BT213" s="515">
        <f t="shared" si="44"/>
        <v>103000</v>
      </c>
      <c r="BU213" s="516"/>
      <c r="BV213" s="517"/>
      <c r="BW213" s="518"/>
    </row>
    <row r="214" spans="1:75" ht="36">
      <c r="A214" s="470" t="s">
        <v>49</v>
      </c>
      <c r="B214" s="471">
        <v>52</v>
      </c>
      <c r="C214" s="471" t="s">
        <v>32</v>
      </c>
      <c r="D214" s="521">
        <v>3224</v>
      </c>
      <c r="E214" s="522" t="s">
        <v>61</v>
      </c>
      <c r="F214" s="474" t="s">
        <v>686</v>
      </c>
      <c r="G214" s="497">
        <f t="shared" si="42"/>
        <v>17955</v>
      </c>
      <c r="H214" s="498">
        <f t="shared" si="42"/>
        <v>22500</v>
      </c>
      <c r="I214" s="499">
        <f t="shared" si="42"/>
        <v>18500</v>
      </c>
      <c r="J214" s="500"/>
      <c r="K214" s="501"/>
      <c r="L214" s="502"/>
      <c r="M214" s="503"/>
      <c r="N214" s="501"/>
      <c r="O214" s="504"/>
      <c r="P214" s="500"/>
      <c r="Q214" s="501"/>
      <c r="R214" s="502"/>
      <c r="S214" s="503"/>
      <c r="T214" s="501"/>
      <c r="U214" s="504"/>
      <c r="V214" s="500"/>
      <c r="W214" s="501"/>
      <c r="X214" s="502"/>
      <c r="Y214" s="505">
        <f t="shared" si="43"/>
        <v>0</v>
      </c>
      <c r="Z214" s="506">
        <f t="shared" si="43"/>
        <v>0</v>
      </c>
      <c r="AA214" s="507">
        <f t="shared" si="43"/>
        <v>0</v>
      </c>
      <c r="AB214" s="500"/>
      <c r="AC214" s="501"/>
      <c r="AD214" s="502"/>
      <c r="AE214" s="503"/>
      <c r="AF214" s="501"/>
      <c r="AG214" s="504"/>
      <c r="AH214" s="500"/>
      <c r="AI214" s="501"/>
      <c r="AJ214" s="502"/>
      <c r="AK214" s="503"/>
      <c r="AL214" s="501"/>
      <c r="AM214" s="504"/>
      <c r="AN214" s="500"/>
      <c r="AO214" s="501"/>
      <c r="AP214" s="502"/>
      <c r="AQ214" s="503"/>
      <c r="AR214" s="501"/>
      <c r="AS214" s="504"/>
      <c r="AT214" s="500"/>
      <c r="AU214" s="501"/>
      <c r="AV214" s="502"/>
      <c r="AW214" s="503"/>
      <c r="AX214" s="501"/>
      <c r="AY214" s="504"/>
      <c r="AZ214" s="500"/>
      <c r="BA214" s="501"/>
      <c r="BB214" s="502"/>
      <c r="BC214" s="503"/>
      <c r="BD214" s="501"/>
      <c r="BE214" s="504"/>
      <c r="BF214" s="500"/>
      <c r="BG214" s="501"/>
      <c r="BH214" s="502"/>
      <c r="BI214" s="503"/>
      <c r="BJ214" s="501"/>
      <c r="BK214" s="504"/>
      <c r="BL214" s="500"/>
      <c r="BM214" s="501"/>
      <c r="BN214" s="502"/>
      <c r="BO214" s="503">
        <v>17955</v>
      </c>
      <c r="BP214" s="501">
        <v>22500</v>
      </c>
      <c r="BQ214" s="504">
        <v>18500</v>
      </c>
      <c r="BR214" s="513">
        <f t="shared" si="44"/>
        <v>17955</v>
      </c>
      <c r="BS214" s="514">
        <f t="shared" si="44"/>
        <v>22500</v>
      </c>
      <c r="BT214" s="515">
        <f t="shared" si="44"/>
        <v>18500</v>
      </c>
      <c r="BU214" s="516"/>
      <c r="BV214" s="517"/>
      <c r="BW214" s="518"/>
    </row>
    <row r="215" spans="1:75" ht="24">
      <c r="A215" s="470" t="s">
        <v>49</v>
      </c>
      <c r="B215" s="471">
        <v>52</v>
      </c>
      <c r="C215" s="471" t="s">
        <v>32</v>
      </c>
      <c r="D215" s="521">
        <v>3225</v>
      </c>
      <c r="E215" s="522" t="s">
        <v>78</v>
      </c>
      <c r="F215" s="474" t="s">
        <v>686</v>
      </c>
      <c r="G215" s="497">
        <f t="shared" si="42"/>
        <v>5000</v>
      </c>
      <c r="H215" s="498">
        <f t="shared" si="42"/>
        <v>5000</v>
      </c>
      <c r="I215" s="499">
        <f t="shared" si="42"/>
        <v>5000</v>
      </c>
      <c r="J215" s="500"/>
      <c r="K215" s="501"/>
      <c r="L215" s="502"/>
      <c r="M215" s="503"/>
      <c r="N215" s="501"/>
      <c r="O215" s="504"/>
      <c r="P215" s="500"/>
      <c r="Q215" s="501"/>
      <c r="R215" s="502"/>
      <c r="S215" s="503"/>
      <c r="T215" s="501"/>
      <c r="U215" s="504"/>
      <c r="V215" s="500"/>
      <c r="W215" s="501"/>
      <c r="X215" s="502"/>
      <c r="Y215" s="505">
        <f t="shared" si="43"/>
        <v>0</v>
      </c>
      <c r="Z215" s="506">
        <f t="shared" si="43"/>
        <v>0</v>
      </c>
      <c r="AA215" s="507">
        <f t="shared" si="43"/>
        <v>0</v>
      </c>
      <c r="AB215" s="500"/>
      <c r="AC215" s="501"/>
      <c r="AD215" s="502"/>
      <c r="AE215" s="503"/>
      <c r="AF215" s="501"/>
      <c r="AG215" s="504"/>
      <c r="AH215" s="500"/>
      <c r="AI215" s="501"/>
      <c r="AJ215" s="502"/>
      <c r="AK215" s="503"/>
      <c r="AL215" s="501"/>
      <c r="AM215" s="504"/>
      <c r="AN215" s="500"/>
      <c r="AO215" s="501"/>
      <c r="AP215" s="502"/>
      <c r="AQ215" s="503"/>
      <c r="AR215" s="501"/>
      <c r="AS215" s="504"/>
      <c r="AT215" s="500"/>
      <c r="AU215" s="501"/>
      <c r="AV215" s="502"/>
      <c r="AW215" s="503"/>
      <c r="AX215" s="501"/>
      <c r="AY215" s="504"/>
      <c r="AZ215" s="500"/>
      <c r="BA215" s="501"/>
      <c r="BB215" s="502"/>
      <c r="BC215" s="503"/>
      <c r="BD215" s="501"/>
      <c r="BE215" s="504"/>
      <c r="BF215" s="500"/>
      <c r="BG215" s="501"/>
      <c r="BH215" s="502"/>
      <c r="BI215" s="503"/>
      <c r="BJ215" s="501"/>
      <c r="BK215" s="504"/>
      <c r="BL215" s="500">
        <v>5000</v>
      </c>
      <c r="BM215" s="501">
        <v>5000</v>
      </c>
      <c r="BN215" s="502">
        <v>5000</v>
      </c>
      <c r="BO215" s="503"/>
      <c r="BP215" s="501"/>
      <c r="BQ215" s="504"/>
      <c r="BR215" s="513">
        <f t="shared" si="44"/>
        <v>5000</v>
      </c>
      <c r="BS215" s="514">
        <f t="shared" si="44"/>
        <v>5000</v>
      </c>
      <c r="BT215" s="515">
        <f t="shared" si="44"/>
        <v>5000</v>
      </c>
      <c r="BU215" s="516"/>
      <c r="BV215" s="517"/>
      <c r="BW215" s="518"/>
    </row>
    <row r="216" spans="1:75" ht="24">
      <c r="A216" s="470" t="s">
        <v>49</v>
      </c>
      <c r="B216" s="471">
        <v>52</v>
      </c>
      <c r="C216" s="471" t="s">
        <v>32</v>
      </c>
      <c r="D216" s="521">
        <v>3231</v>
      </c>
      <c r="E216" s="522" t="s">
        <v>79</v>
      </c>
      <c r="F216" s="474" t="s">
        <v>686</v>
      </c>
      <c r="G216" s="497">
        <f t="shared" si="42"/>
        <v>2500</v>
      </c>
      <c r="H216" s="498">
        <f t="shared" si="42"/>
        <v>0</v>
      </c>
      <c r="I216" s="499">
        <f t="shared" si="42"/>
        <v>0</v>
      </c>
      <c r="J216" s="500"/>
      <c r="K216" s="501"/>
      <c r="L216" s="502"/>
      <c r="M216" s="503"/>
      <c r="N216" s="501"/>
      <c r="O216" s="504"/>
      <c r="P216" s="500"/>
      <c r="Q216" s="501"/>
      <c r="R216" s="502"/>
      <c r="S216" s="503"/>
      <c r="T216" s="501"/>
      <c r="U216" s="504"/>
      <c r="V216" s="500"/>
      <c r="W216" s="501"/>
      <c r="X216" s="502"/>
      <c r="Y216" s="505">
        <f t="shared" si="43"/>
        <v>0</v>
      </c>
      <c r="Z216" s="506">
        <f t="shared" si="43"/>
        <v>0</v>
      </c>
      <c r="AA216" s="507">
        <f t="shared" si="43"/>
        <v>0</v>
      </c>
      <c r="AB216" s="500"/>
      <c r="AC216" s="501"/>
      <c r="AD216" s="502"/>
      <c r="AE216" s="503"/>
      <c r="AF216" s="501"/>
      <c r="AG216" s="504"/>
      <c r="AH216" s="500"/>
      <c r="AI216" s="501"/>
      <c r="AJ216" s="502"/>
      <c r="AK216" s="503"/>
      <c r="AL216" s="501"/>
      <c r="AM216" s="504"/>
      <c r="AN216" s="500"/>
      <c r="AO216" s="501"/>
      <c r="AP216" s="502"/>
      <c r="AQ216" s="503"/>
      <c r="AR216" s="501"/>
      <c r="AS216" s="504"/>
      <c r="AT216" s="500"/>
      <c r="AU216" s="501"/>
      <c r="AV216" s="502"/>
      <c r="AW216" s="503"/>
      <c r="AX216" s="501"/>
      <c r="AY216" s="504"/>
      <c r="AZ216" s="500"/>
      <c r="BA216" s="501"/>
      <c r="BB216" s="502"/>
      <c r="BC216" s="503"/>
      <c r="BD216" s="501"/>
      <c r="BE216" s="504"/>
      <c r="BF216" s="500"/>
      <c r="BG216" s="501"/>
      <c r="BH216" s="502"/>
      <c r="BI216" s="503">
        <v>2500</v>
      </c>
      <c r="BJ216" s="501"/>
      <c r="BK216" s="504"/>
      <c r="BL216" s="500"/>
      <c r="BM216" s="501"/>
      <c r="BN216" s="502"/>
      <c r="BO216" s="503"/>
      <c r="BP216" s="501"/>
      <c r="BQ216" s="504"/>
      <c r="BR216" s="513">
        <f t="shared" si="44"/>
        <v>2500</v>
      </c>
      <c r="BS216" s="514">
        <f t="shared" si="44"/>
        <v>0</v>
      </c>
      <c r="BT216" s="515">
        <f t="shared" si="44"/>
        <v>0</v>
      </c>
      <c r="BU216" s="516"/>
      <c r="BV216" s="517"/>
      <c r="BW216" s="518"/>
    </row>
    <row r="217" spans="1:75" ht="36">
      <c r="A217" s="470" t="s">
        <v>49</v>
      </c>
      <c r="B217" s="471">
        <v>52</v>
      </c>
      <c r="C217" s="471" t="s">
        <v>32</v>
      </c>
      <c r="D217" s="521">
        <v>3232</v>
      </c>
      <c r="E217" s="522" t="s">
        <v>80</v>
      </c>
      <c r="F217" s="474" t="s">
        <v>686</v>
      </c>
      <c r="G217" s="497">
        <f t="shared" si="42"/>
        <v>15000</v>
      </c>
      <c r="H217" s="498">
        <f t="shared" si="42"/>
        <v>20000</v>
      </c>
      <c r="I217" s="499">
        <f t="shared" si="42"/>
        <v>134218</v>
      </c>
      <c r="J217" s="500"/>
      <c r="K217" s="501"/>
      <c r="L217" s="502"/>
      <c r="M217" s="503"/>
      <c r="N217" s="501"/>
      <c r="O217" s="504"/>
      <c r="P217" s="500"/>
      <c r="Q217" s="501"/>
      <c r="R217" s="502"/>
      <c r="S217" s="503"/>
      <c r="T217" s="501"/>
      <c r="U217" s="504"/>
      <c r="V217" s="500"/>
      <c r="W217" s="501"/>
      <c r="X217" s="502"/>
      <c r="Y217" s="505">
        <f t="shared" si="43"/>
        <v>0</v>
      </c>
      <c r="Z217" s="506">
        <f t="shared" si="43"/>
        <v>0</v>
      </c>
      <c r="AA217" s="507">
        <f t="shared" si="43"/>
        <v>0</v>
      </c>
      <c r="AB217" s="500"/>
      <c r="AC217" s="501"/>
      <c r="AD217" s="502"/>
      <c r="AE217" s="503"/>
      <c r="AF217" s="501"/>
      <c r="AG217" s="504"/>
      <c r="AH217" s="500"/>
      <c r="AI217" s="501"/>
      <c r="AJ217" s="502">
        <v>120146</v>
      </c>
      <c r="AK217" s="503"/>
      <c r="AL217" s="501"/>
      <c r="AM217" s="504"/>
      <c r="AN217" s="500"/>
      <c r="AO217" s="501"/>
      <c r="AP217" s="502"/>
      <c r="AQ217" s="503"/>
      <c r="AR217" s="501"/>
      <c r="AS217" s="504"/>
      <c r="AT217" s="500"/>
      <c r="AU217" s="501"/>
      <c r="AV217" s="502"/>
      <c r="AW217" s="503"/>
      <c r="AX217" s="501"/>
      <c r="AY217" s="504"/>
      <c r="AZ217" s="500"/>
      <c r="BA217" s="501"/>
      <c r="BB217" s="502"/>
      <c r="BC217" s="503"/>
      <c r="BD217" s="501"/>
      <c r="BE217" s="504"/>
      <c r="BF217" s="500"/>
      <c r="BG217" s="501"/>
      <c r="BH217" s="502"/>
      <c r="BI217" s="503"/>
      <c r="BJ217" s="501"/>
      <c r="BK217" s="504"/>
      <c r="BL217" s="500"/>
      <c r="BM217" s="501"/>
      <c r="BN217" s="502"/>
      <c r="BO217" s="503">
        <v>15000</v>
      </c>
      <c r="BP217" s="501">
        <v>20000</v>
      </c>
      <c r="BQ217" s="504">
        <v>14072</v>
      </c>
      <c r="BR217" s="513">
        <f t="shared" si="44"/>
        <v>15000</v>
      </c>
      <c r="BS217" s="514">
        <f t="shared" si="44"/>
        <v>20000</v>
      </c>
      <c r="BT217" s="515">
        <f t="shared" si="44"/>
        <v>134218</v>
      </c>
      <c r="BU217" s="516"/>
      <c r="BV217" s="517"/>
      <c r="BW217" s="518"/>
    </row>
    <row r="218" spans="1:75" ht="24">
      <c r="A218" s="470" t="s">
        <v>49</v>
      </c>
      <c r="B218" s="471">
        <v>52</v>
      </c>
      <c r="C218" s="471" t="s">
        <v>32</v>
      </c>
      <c r="D218" s="521">
        <v>3233</v>
      </c>
      <c r="E218" s="522" t="s">
        <v>81</v>
      </c>
      <c r="F218" s="474" t="s">
        <v>686</v>
      </c>
      <c r="G218" s="497">
        <f t="shared" si="42"/>
        <v>24500</v>
      </c>
      <c r="H218" s="498">
        <f t="shared" si="42"/>
        <v>24500</v>
      </c>
      <c r="I218" s="499">
        <f t="shared" si="42"/>
        <v>24500</v>
      </c>
      <c r="J218" s="500"/>
      <c r="K218" s="501"/>
      <c r="L218" s="502"/>
      <c r="M218" s="503"/>
      <c r="N218" s="501"/>
      <c r="O218" s="504"/>
      <c r="P218" s="500"/>
      <c r="Q218" s="501"/>
      <c r="R218" s="502"/>
      <c r="S218" s="503"/>
      <c r="T218" s="501"/>
      <c r="U218" s="504"/>
      <c r="V218" s="500"/>
      <c r="W218" s="501"/>
      <c r="X218" s="502"/>
      <c r="Y218" s="505">
        <f t="shared" si="43"/>
        <v>0</v>
      </c>
      <c r="Z218" s="506">
        <f t="shared" si="43"/>
        <v>0</v>
      </c>
      <c r="AA218" s="507">
        <f t="shared" si="43"/>
        <v>0</v>
      </c>
      <c r="AB218" s="500"/>
      <c r="AC218" s="501"/>
      <c r="AD218" s="502"/>
      <c r="AE218" s="503"/>
      <c r="AF218" s="501"/>
      <c r="AG218" s="504"/>
      <c r="AH218" s="500"/>
      <c r="AI218" s="501"/>
      <c r="AJ218" s="502"/>
      <c r="AK218" s="503"/>
      <c r="AL218" s="501"/>
      <c r="AM218" s="504"/>
      <c r="AN218" s="500"/>
      <c r="AO218" s="501"/>
      <c r="AP218" s="502"/>
      <c r="AQ218" s="503"/>
      <c r="AR218" s="501"/>
      <c r="AS218" s="504"/>
      <c r="AT218" s="500"/>
      <c r="AU218" s="501"/>
      <c r="AV218" s="502"/>
      <c r="AW218" s="503"/>
      <c r="AX218" s="501"/>
      <c r="AY218" s="504"/>
      <c r="AZ218" s="500"/>
      <c r="BA218" s="501"/>
      <c r="BB218" s="502"/>
      <c r="BC218" s="503"/>
      <c r="BD218" s="501"/>
      <c r="BE218" s="504"/>
      <c r="BF218" s="500">
        <v>15000</v>
      </c>
      <c r="BG218" s="501">
        <v>15000</v>
      </c>
      <c r="BH218" s="502">
        <v>15000</v>
      </c>
      <c r="BI218" s="503"/>
      <c r="BJ218" s="501"/>
      <c r="BK218" s="504"/>
      <c r="BL218" s="500">
        <v>9500</v>
      </c>
      <c r="BM218" s="501">
        <v>9500</v>
      </c>
      <c r="BN218" s="502">
        <v>9500</v>
      </c>
      <c r="BO218" s="503"/>
      <c r="BP218" s="501"/>
      <c r="BQ218" s="504"/>
      <c r="BR218" s="513">
        <f t="shared" si="44"/>
        <v>24500</v>
      </c>
      <c r="BS218" s="514">
        <f t="shared" si="44"/>
        <v>24500</v>
      </c>
      <c r="BT218" s="515">
        <f t="shared" si="44"/>
        <v>24500</v>
      </c>
      <c r="BU218" s="516"/>
      <c r="BV218" s="517"/>
      <c r="BW218" s="518"/>
    </row>
    <row r="219" spans="1:75" ht="24">
      <c r="A219" s="470" t="s">
        <v>49</v>
      </c>
      <c r="B219" s="471">
        <v>52</v>
      </c>
      <c r="C219" s="471" t="s">
        <v>32</v>
      </c>
      <c r="D219" s="521">
        <v>3234</v>
      </c>
      <c r="E219" s="522" t="s">
        <v>87</v>
      </c>
      <c r="F219" s="474" t="s">
        <v>686</v>
      </c>
      <c r="G219" s="497">
        <f t="shared" si="42"/>
        <v>25500</v>
      </c>
      <c r="H219" s="498">
        <f t="shared" si="42"/>
        <v>25500</v>
      </c>
      <c r="I219" s="499">
        <f t="shared" si="42"/>
        <v>25500</v>
      </c>
      <c r="J219" s="500"/>
      <c r="K219" s="501"/>
      <c r="L219" s="502"/>
      <c r="M219" s="503"/>
      <c r="N219" s="501"/>
      <c r="O219" s="504"/>
      <c r="P219" s="500"/>
      <c r="Q219" s="501"/>
      <c r="R219" s="502"/>
      <c r="S219" s="503"/>
      <c r="T219" s="501"/>
      <c r="U219" s="504"/>
      <c r="V219" s="500"/>
      <c r="W219" s="501"/>
      <c r="X219" s="502"/>
      <c r="Y219" s="505">
        <f t="shared" si="43"/>
        <v>0</v>
      </c>
      <c r="Z219" s="506">
        <f t="shared" si="43"/>
        <v>0</v>
      </c>
      <c r="AA219" s="507">
        <f t="shared" si="43"/>
        <v>0</v>
      </c>
      <c r="AB219" s="500"/>
      <c r="AC219" s="501"/>
      <c r="AD219" s="502"/>
      <c r="AE219" s="503"/>
      <c r="AF219" s="501"/>
      <c r="AG219" s="504"/>
      <c r="AH219" s="500"/>
      <c r="AI219" s="501"/>
      <c r="AJ219" s="502"/>
      <c r="AK219" s="503"/>
      <c r="AL219" s="501"/>
      <c r="AM219" s="504"/>
      <c r="AN219" s="500"/>
      <c r="AO219" s="501"/>
      <c r="AP219" s="502"/>
      <c r="AQ219" s="503"/>
      <c r="AR219" s="501"/>
      <c r="AS219" s="504"/>
      <c r="AT219" s="500"/>
      <c r="AU219" s="501"/>
      <c r="AV219" s="502"/>
      <c r="AW219" s="503"/>
      <c r="AX219" s="501"/>
      <c r="AY219" s="504"/>
      <c r="AZ219" s="500"/>
      <c r="BA219" s="501"/>
      <c r="BB219" s="502"/>
      <c r="BC219" s="503"/>
      <c r="BD219" s="501"/>
      <c r="BE219" s="504"/>
      <c r="BF219" s="500"/>
      <c r="BG219" s="501"/>
      <c r="BH219" s="502"/>
      <c r="BI219" s="503"/>
      <c r="BJ219" s="501"/>
      <c r="BK219" s="504"/>
      <c r="BL219" s="500"/>
      <c r="BM219" s="501"/>
      <c r="BN219" s="502"/>
      <c r="BO219" s="503">
        <v>25500</v>
      </c>
      <c r="BP219" s="501">
        <v>25500</v>
      </c>
      <c r="BQ219" s="504">
        <v>25500</v>
      </c>
      <c r="BR219" s="513">
        <f t="shared" si="44"/>
        <v>25500</v>
      </c>
      <c r="BS219" s="514">
        <f t="shared" si="44"/>
        <v>25500</v>
      </c>
      <c r="BT219" s="515">
        <f t="shared" si="44"/>
        <v>25500</v>
      </c>
      <c r="BU219" s="516"/>
      <c r="BV219" s="517"/>
      <c r="BW219" s="518"/>
    </row>
    <row r="220" spans="1:75" ht="24">
      <c r="A220" s="470" t="s">
        <v>49</v>
      </c>
      <c r="B220" s="471">
        <v>52</v>
      </c>
      <c r="C220" s="471" t="s">
        <v>32</v>
      </c>
      <c r="D220" s="521">
        <v>3235</v>
      </c>
      <c r="E220" s="522" t="s">
        <v>88</v>
      </c>
      <c r="F220" s="474" t="s">
        <v>686</v>
      </c>
      <c r="G220" s="497">
        <f t="shared" si="42"/>
        <v>31500</v>
      </c>
      <c r="H220" s="498">
        <f t="shared" si="42"/>
        <v>26500</v>
      </c>
      <c r="I220" s="499">
        <f t="shared" si="42"/>
        <v>26500</v>
      </c>
      <c r="J220" s="500"/>
      <c r="K220" s="501"/>
      <c r="L220" s="502"/>
      <c r="M220" s="503"/>
      <c r="N220" s="501"/>
      <c r="O220" s="504"/>
      <c r="P220" s="500"/>
      <c r="Q220" s="501"/>
      <c r="R220" s="502"/>
      <c r="S220" s="503"/>
      <c r="T220" s="501"/>
      <c r="U220" s="504"/>
      <c r="V220" s="500"/>
      <c r="W220" s="501"/>
      <c r="X220" s="502"/>
      <c r="Y220" s="505">
        <f t="shared" si="43"/>
        <v>0</v>
      </c>
      <c r="Z220" s="506">
        <f t="shared" si="43"/>
        <v>0</v>
      </c>
      <c r="AA220" s="507">
        <f t="shared" si="43"/>
        <v>0</v>
      </c>
      <c r="AB220" s="500"/>
      <c r="AC220" s="501"/>
      <c r="AD220" s="502"/>
      <c r="AE220" s="503"/>
      <c r="AF220" s="501"/>
      <c r="AG220" s="504"/>
      <c r="AH220" s="500"/>
      <c r="AI220" s="501"/>
      <c r="AJ220" s="502"/>
      <c r="AK220" s="503"/>
      <c r="AL220" s="501"/>
      <c r="AM220" s="504"/>
      <c r="AN220" s="500"/>
      <c r="AO220" s="501"/>
      <c r="AP220" s="502"/>
      <c r="AQ220" s="503"/>
      <c r="AR220" s="501"/>
      <c r="AS220" s="504"/>
      <c r="AT220" s="500"/>
      <c r="AU220" s="501"/>
      <c r="AV220" s="502"/>
      <c r="AW220" s="503"/>
      <c r="AX220" s="501"/>
      <c r="AY220" s="504"/>
      <c r="AZ220" s="500"/>
      <c r="BA220" s="501"/>
      <c r="BB220" s="502"/>
      <c r="BC220" s="503"/>
      <c r="BD220" s="501"/>
      <c r="BE220" s="504"/>
      <c r="BF220" s="500"/>
      <c r="BG220" s="501"/>
      <c r="BH220" s="502"/>
      <c r="BI220" s="503">
        <v>5000</v>
      </c>
      <c r="BJ220" s="501"/>
      <c r="BK220" s="504"/>
      <c r="BL220" s="500"/>
      <c r="BM220" s="501"/>
      <c r="BN220" s="502"/>
      <c r="BO220" s="503">
        <v>26500</v>
      </c>
      <c r="BP220" s="501">
        <v>26500</v>
      </c>
      <c r="BQ220" s="504">
        <v>26500</v>
      </c>
      <c r="BR220" s="513">
        <f t="shared" si="44"/>
        <v>31500</v>
      </c>
      <c r="BS220" s="514">
        <f t="shared" si="44"/>
        <v>26500</v>
      </c>
      <c r="BT220" s="515">
        <f t="shared" si="44"/>
        <v>26500</v>
      </c>
      <c r="BU220" s="516"/>
      <c r="BV220" s="517"/>
      <c r="BW220" s="518"/>
    </row>
    <row r="221" spans="1:75" ht="24">
      <c r="A221" s="470" t="s">
        <v>49</v>
      </c>
      <c r="B221" s="471">
        <v>52</v>
      </c>
      <c r="C221" s="471" t="s">
        <v>32</v>
      </c>
      <c r="D221" s="521">
        <v>3236</v>
      </c>
      <c r="E221" s="522" t="s">
        <v>54</v>
      </c>
      <c r="F221" s="474" t="s">
        <v>686</v>
      </c>
      <c r="G221" s="497">
        <f t="shared" si="42"/>
        <v>10000</v>
      </c>
      <c r="H221" s="498">
        <f t="shared" si="42"/>
        <v>10000</v>
      </c>
      <c r="I221" s="499">
        <f t="shared" si="42"/>
        <v>10000</v>
      </c>
      <c r="J221" s="500"/>
      <c r="K221" s="501"/>
      <c r="L221" s="502"/>
      <c r="M221" s="503"/>
      <c r="N221" s="501"/>
      <c r="O221" s="504"/>
      <c r="P221" s="500"/>
      <c r="Q221" s="501"/>
      <c r="R221" s="502"/>
      <c r="S221" s="503"/>
      <c r="T221" s="501"/>
      <c r="U221" s="504"/>
      <c r="V221" s="500"/>
      <c r="W221" s="501"/>
      <c r="X221" s="502"/>
      <c r="Y221" s="505">
        <f t="shared" si="43"/>
        <v>0</v>
      </c>
      <c r="Z221" s="506">
        <f t="shared" si="43"/>
        <v>0</v>
      </c>
      <c r="AA221" s="507">
        <f t="shared" si="43"/>
        <v>0</v>
      </c>
      <c r="AB221" s="500"/>
      <c r="AC221" s="501"/>
      <c r="AD221" s="502"/>
      <c r="AE221" s="503"/>
      <c r="AF221" s="501"/>
      <c r="AG221" s="504"/>
      <c r="AH221" s="500"/>
      <c r="AI221" s="501"/>
      <c r="AJ221" s="502"/>
      <c r="AK221" s="503"/>
      <c r="AL221" s="501"/>
      <c r="AM221" s="504"/>
      <c r="AN221" s="500"/>
      <c r="AO221" s="501"/>
      <c r="AP221" s="502"/>
      <c r="AQ221" s="503"/>
      <c r="AR221" s="501"/>
      <c r="AS221" s="504"/>
      <c r="AT221" s="500"/>
      <c r="AU221" s="501"/>
      <c r="AV221" s="502"/>
      <c r="AW221" s="503"/>
      <c r="AX221" s="501"/>
      <c r="AY221" s="504"/>
      <c r="AZ221" s="500"/>
      <c r="BA221" s="501"/>
      <c r="BB221" s="502"/>
      <c r="BC221" s="503"/>
      <c r="BD221" s="501"/>
      <c r="BE221" s="504"/>
      <c r="BF221" s="500"/>
      <c r="BG221" s="501"/>
      <c r="BH221" s="502"/>
      <c r="BI221" s="503"/>
      <c r="BJ221" s="501"/>
      <c r="BK221" s="504"/>
      <c r="BL221" s="500"/>
      <c r="BM221" s="501"/>
      <c r="BN221" s="502"/>
      <c r="BO221" s="503">
        <v>10000</v>
      </c>
      <c r="BP221" s="501">
        <v>10000</v>
      </c>
      <c r="BQ221" s="504">
        <v>10000</v>
      </c>
      <c r="BR221" s="513">
        <f t="shared" si="44"/>
        <v>10000</v>
      </c>
      <c r="BS221" s="514">
        <f t="shared" si="44"/>
        <v>10000</v>
      </c>
      <c r="BT221" s="515">
        <f t="shared" si="44"/>
        <v>10000</v>
      </c>
      <c r="BU221" s="516"/>
      <c r="BV221" s="517"/>
      <c r="BW221" s="518"/>
    </row>
    <row r="222" spans="1:75" ht="24">
      <c r="A222" s="470" t="s">
        <v>49</v>
      </c>
      <c r="B222" s="471">
        <v>52</v>
      </c>
      <c r="C222" s="471" t="s">
        <v>32</v>
      </c>
      <c r="D222" s="521">
        <v>3237</v>
      </c>
      <c r="E222" s="522" t="s">
        <v>62</v>
      </c>
      <c r="F222" s="474" t="s">
        <v>686</v>
      </c>
      <c r="G222" s="497">
        <f t="shared" si="42"/>
        <v>551180</v>
      </c>
      <c r="H222" s="498">
        <f t="shared" si="42"/>
        <v>455000</v>
      </c>
      <c r="I222" s="499">
        <f t="shared" si="42"/>
        <v>526800</v>
      </c>
      <c r="J222" s="500"/>
      <c r="K222" s="501"/>
      <c r="L222" s="502"/>
      <c r="M222" s="503"/>
      <c r="N222" s="501"/>
      <c r="O222" s="504"/>
      <c r="P222" s="500"/>
      <c r="Q222" s="501"/>
      <c r="R222" s="502"/>
      <c r="S222" s="503"/>
      <c r="T222" s="501"/>
      <c r="U222" s="504"/>
      <c r="V222" s="500"/>
      <c r="W222" s="501"/>
      <c r="X222" s="502"/>
      <c r="Y222" s="505">
        <f t="shared" si="43"/>
        <v>0</v>
      </c>
      <c r="Z222" s="506">
        <f t="shared" si="43"/>
        <v>0</v>
      </c>
      <c r="AA222" s="507">
        <f t="shared" si="43"/>
        <v>0</v>
      </c>
      <c r="AB222" s="500"/>
      <c r="AC222" s="501"/>
      <c r="AD222" s="502"/>
      <c r="AE222" s="503">
        <v>167580</v>
      </c>
      <c r="AF222" s="501">
        <v>40000</v>
      </c>
      <c r="AG222" s="504">
        <v>105000</v>
      </c>
      <c r="AH222" s="500"/>
      <c r="AI222" s="501"/>
      <c r="AJ222" s="502"/>
      <c r="AK222" s="503"/>
      <c r="AL222" s="501"/>
      <c r="AM222" s="504"/>
      <c r="AN222" s="500"/>
      <c r="AO222" s="501">
        <v>95000</v>
      </c>
      <c r="AP222" s="502">
        <v>95000</v>
      </c>
      <c r="AQ222" s="503"/>
      <c r="AR222" s="501"/>
      <c r="AS222" s="504"/>
      <c r="AT222" s="500"/>
      <c r="AU222" s="501"/>
      <c r="AV222" s="502"/>
      <c r="AW222" s="503">
        <v>300000</v>
      </c>
      <c r="AX222" s="501">
        <v>300000</v>
      </c>
      <c r="AY222" s="504">
        <v>300000</v>
      </c>
      <c r="AZ222" s="500"/>
      <c r="BA222" s="501"/>
      <c r="BB222" s="502"/>
      <c r="BC222" s="503"/>
      <c r="BD222" s="501"/>
      <c r="BE222" s="504"/>
      <c r="BF222" s="500"/>
      <c r="BG222" s="501"/>
      <c r="BH222" s="502"/>
      <c r="BI222" s="503">
        <v>50000</v>
      </c>
      <c r="BJ222" s="501"/>
      <c r="BK222" s="504"/>
      <c r="BL222" s="500"/>
      <c r="BM222" s="501"/>
      <c r="BN222" s="502"/>
      <c r="BO222" s="503">
        <v>33600</v>
      </c>
      <c r="BP222" s="501">
        <v>20000</v>
      </c>
      <c r="BQ222" s="504">
        <v>26800</v>
      </c>
      <c r="BR222" s="513">
        <f t="shared" si="44"/>
        <v>551180</v>
      </c>
      <c r="BS222" s="514">
        <f t="shared" si="44"/>
        <v>455000</v>
      </c>
      <c r="BT222" s="515">
        <f t="shared" si="44"/>
        <v>526800</v>
      </c>
      <c r="BU222" s="516"/>
      <c r="BV222" s="517"/>
      <c r="BW222" s="518"/>
    </row>
    <row r="223" spans="1:75" ht="24">
      <c r="A223" s="470" t="s">
        <v>49</v>
      </c>
      <c r="B223" s="471">
        <v>52</v>
      </c>
      <c r="C223" s="471" t="s">
        <v>32</v>
      </c>
      <c r="D223" s="521">
        <v>3238</v>
      </c>
      <c r="E223" s="522" t="s">
        <v>82</v>
      </c>
      <c r="F223" s="474" t="s">
        <v>686</v>
      </c>
      <c r="G223" s="497">
        <f t="shared" si="42"/>
        <v>40000</v>
      </c>
      <c r="H223" s="498">
        <f t="shared" si="42"/>
        <v>40000</v>
      </c>
      <c r="I223" s="499">
        <f t="shared" si="42"/>
        <v>40000</v>
      </c>
      <c r="J223" s="500"/>
      <c r="K223" s="501"/>
      <c r="L223" s="502"/>
      <c r="M223" s="503"/>
      <c r="N223" s="501"/>
      <c r="O223" s="504"/>
      <c r="P223" s="500"/>
      <c r="Q223" s="501"/>
      <c r="R223" s="502"/>
      <c r="S223" s="503"/>
      <c r="T223" s="501"/>
      <c r="U223" s="504"/>
      <c r="V223" s="500"/>
      <c r="W223" s="501"/>
      <c r="X223" s="502"/>
      <c r="Y223" s="505">
        <f t="shared" si="43"/>
        <v>0</v>
      </c>
      <c r="Z223" s="506">
        <f t="shared" si="43"/>
        <v>0</v>
      </c>
      <c r="AA223" s="507">
        <f t="shared" si="43"/>
        <v>0</v>
      </c>
      <c r="AB223" s="500"/>
      <c r="AC223" s="501"/>
      <c r="AD223" s="502"/>
      <c r="AE223" s="503"/>
      <c r="AF223" s="501"/>
      <c r="AG223" s="504"/>
      <c r="AH223" s="500"/>
      <c r="AI223" s="501"/>
      <c r="AJ223" s="502"/>
      <c r="AK223" s="503"/>
      <c r="AL223" s="501"/>
      <c r="AM223" s="504"/>
      <c r="AN223" s="500"/>
      <c r="AO223" s="501"/>
      <c r="AP223" s="502"/>
      <c r="AQ223" s="503"/>
      <c r="AR223" s="501"/>
      <c r="AS223" s="504"/>
      <c r="AT223" s="500"/>
      <c r="AU223" s="501"/>
      <c r="AV223" s="502"/>
      <c r="AW223" s="503"/>
      <c r="AX223" s="501"/>
      <c r="AY223" s="504"/>
      <c r="AZ223" s="500"/>
      <c r="BA223" s="501"/>
      <c r="BB223" s="502"/>
      <c r="BC223" s="503"/>
      <c r="BD223" s="501"/>
      <c r="BE223" s="504"/>
      <c r="BF223" s="500"/>
      <c r="BG223" s="501"/>
      <c r="BH223" s="502"/>
      <c r="BI223" s="503"/>
      <c r="BJ223" s="501"/>
      <c r="BK223" s="504"/>
      <c r="BL223" s="500"/>
      <c r="BM223" s="501"/>
      <c r="BN223" s="502"/>
      <c r="BO223" s="503">
        <v>40000</v>
      </c>
      <c r="BP223" s="501">
        <v>40000</v>
      </c>
      <c r="BQ223" s="504">
        <v>40000</v>
      </c>
      <c r="BR223" s="513">
        <f t="shared" si="44"/>
        <v>40000</v>
      </c>
      <c r="BS223" s="514">
        <f t="shared" si="44"/>
        <v>40000</v>
      </c>
      <c r="BT223" s="515">
        <f t="shared" si="44"/>
        <v>40000</v>
      </c>
      <c r="BU223" s="516"/>
      <c r="BV223" s="517"/>
      <c r="BW223" s="518"/>
    </row>
    <row r="224" spans="1:75" ht="24">
      <c r="A224" s="470" t="s">
        <v>49</v>
      </c>
      <c r="B224" s="471">
        <v>52</v>
      </c>
      <c r="C224" s="471" t="s">
        <v>32</v>
      </c>
      <c r="D224" s="521">
        <v>3239</v>
      </c>
      <c r="E224" s="522" t="s">
        <v>66</v>
      </c>
      <c r="F224" s="474" t="s">
        <v>686</v>
      </c>
      <c r="G224" s="497">
        <f t="shared" si="42"/>
        <v>63957</v>
      </c>
      <c r="H224" s="498">
        <f t="shared" si="42"/>
        <v>264022</v>
      </c>
      <c r="I224" s="499">
        <f t="shared" si="42"/>
        <v>263900</v>
      </c>
      <c r="J224" s="500"/>
      <c r="K224" s="501"/>
      <c r="L224" s="502"/>
      <c r="M224" s="503"/>
      <c r="N224" s="501"/>
      <c r="O224" s="504"/>
      <c r="P224" s="500"/>
      <c r="Q224" s="501"/>
      <c r="R224" s="502"/>
      <c r="S224" s="503"/>
      <c r="T224" s="501"/>
      <c r="U224" s="504"/>
      <c r="V224" s="500"/>
      <c r="W224" s="501"/>
      <c r="X224" s="502"/>
      <c r="Y224" s="505">
        <f t="shared" si="43"/>
        <v>0</v>
      </c>
      <c r="Z224" s="506">
        <f t="shared" si="43"/>
        <v>0</v>
      </c>
      <c r="AA224" s="507">
        <f t="shared" si="43"/>
        <v>0</v>
      </c>
      <c r="AB224" s="500"/>
      <c r="AC224" s="501"/>
      <c r="AD224" s="502"/>
      <c r="AE224" s="503"/>
      <c r="AF224" s="501"/>
      <c r="AG224" s="504"/>
      <c r="AH224" s="500"/>
      <c r="AI224" s="501">
        <v>205000</v>
      </c>
      <c r="AJ224" s="502">
        <v>205000</v>
      </c>
      <c r="AK224" s="503"/>
      <c r="AL224" s="501"/>
      <c r="AM224" s="504"/>
      <c r="AN224" s="500"/>
      <c r="AO224" s="501"/>
      <c r="AP224" s="502"/>
      <c r="AQ224" s="503"/>
      <c r="AR224" s="501"/>
      <c r="AS224" s="504"/>
      <c r="AT224" s="500"/>
      <c r="AU224" s="501"/>
      <c r="AV224" s="502"/>
      <c r="AW224" s="503"/>
      <c r="AX224" s="501"/>
      <c r="AY224" s="504"/>
      <c r="AZ224" s="500">
        <f>30000-4943</f>
        <v>25057</v>
      </c>
      <c r="BA224" s="501">
        <v>30000</v>
      </c>
      <c r="BB224" s="502">
        <v>30000</v>
      </c>
      <c r="BC224" s="503"/>
      <c r="BD224" s="501"/>
      <c r="BE224" s="504"/>
      <c r="BF224" s="500">
        <v>15000</v>
      </c>
      <c r="BG224" s="501">
        <v>15000</v>
      </c>
      <c r="BH224" s="502">
        <v>15000</v>
      </c>
      <c r="BI224" s="503">
        <v>10000</v>
      </c>
      <c r="BJ224" s="501"/>
      <c r="BK224" s="504"/>
      <c r="BL224" s="500"/>
      <c r="BM224" s="501"/>
      <c r="BN224" s="502"/>
      <c r="BO224" s="503">
        <v>13900</v>
      </c>
      <c r="BP224" s="501">
        <v>14022</v>
      </c>
      <c r="BQ224" s="504">
        <v>13900</v>
      </c>
      <c r="BR224" s="513">
        <f t="shared" si="44"/>
        <v>63957</v>
      </c>
      <c r="BS224" s="514">
        <f t="shared" si="44"/>
        <v>264022</v>
      </c>
      <c r="BT224" s="515">
        <f t="shared" si="44"/>
        <v>263900</v>
      </c>
      <c r="BU224" s="516"/>
      <c r="BV224" s="517"/>
      <c r="BW224" s="518"/>
    </row>
    <row r="225" spans="1:76" ht="36">
      <c r="A225" s="470" t="s">
        <v>49</v>
      </c>
      <c r="B225" s="471">
        <v>52</v>
      </c>
      <c r="C225" s="471" t="s">
        <v>32</v>
      </c>
      <c r="D225" s="521">
        <v>3241</v>
      </c>
      <c r="E225" s="522" t="s">
        <v>67</v>
      </c>
      <c r="F225" s="474" t="s">
        <v>686</v>
      </c>
      <c r="G225" s="497">
        <f t="shared" si="42"/>
        <v>55212</v>
      </c>
      <c r="H225" s="498">
        <f t="shared" si="42"/>
        <v>0</v>
      </c>
      <c r="I225" s="499">
        <f t="shared" si="42"/>
        <v>0</v>
      </c>
      <c r="J225" s="500"/>
      <c r="K225" s="501"/>
      <c r="L225" s="502"/>
      <c r="M225" s="503"/>
      <c r="N225" s="501"/>
      <c r="O225" s="504"/>
      <c r="P225" s="500"/>
      <c r="Q225" s="501"/>
      <c r="R225" s="502"/>
      <c r="S225" s="503">
        <f>18712+6000</f>
        <v>24712</v>
      </c>
      <c r="T225" s="501"/>
      <c r="U225" s="504"/>
      <c r="V225" s="500">
        <v>13810</v>
      </c>
      <c r="W225" s="501"/>
      <c r="X225" s="502"/>
      <c r="Y225" s="505">
        <f t="shared" si="43"/>
        <v>38522</v>
      </c>
      <c r="Z225" s="506">
        <f t="shared" si="43"/>
        <v>0</v>
      </c>
      <c r="AA225" s="507">
        <f t="shared" si="43"/>
        <v>0</v>
      </c>
      <c r="AB225" s="500"/>
      <c r="AC225" s="501"/>
      <c r="AD225" s="502"/>
      <c r="AE225" s="503"/>
      <c r="AF225" s="501"/>
      <c r="AG225" s="504"/>
      <c r="AH225" s="500"/>
      <c r="AI225" s="501"/>
      <c r="AJ225" s="502"/>
      <c r="AK225" s="503"/>
      <c r="AL225" s="501"/>
      <c r="AM225" s="504"/>
      <c r="AN225" s="500"/>
      <c r="AO225" s="501"/>
      <c r="AP225" s="502"/>
      <c r="AQ225" s="503"/>
      <c r="AR225" s="501"/>
      <c r="AS225" s="504"/>
      <c r="AT225" s="500"/>
      <c r="AU225" s="501"/>
      <c r="AV225" s="502"/>
      <c r="AW225" s="503"/>
      <c r="AX225" s="501"/>
      <c r="AY225" s="504"/>
      <c r="AZ225" s="500"/>
      <c r="BA225" s="501"/>
      <c r="BB225" s="502"/>
      <c r="BC225" s="503"/>
      <c r="BD225" s="501"/>
      <c r="BE225" s="504"/>
      <c r="BF225" s="500"/>
      <c r="BG225" s="501"/>
      <c r="BH225" s="502"/>
      <c r="BI225" s="503">
        <v>15000</v>
      </c>
      <c r="BJ225" s="501"/>
      <c r="BK225" s="504"/>
      <c r="BL225" s="500"/>
      <c r="BM225" s="501"/>
      <c r="BN225" s="502"/>
      <c r="BO225" s="503">
        <v>1690</v>
      </c>
      <c r="BP225" s="501"/>
      <c r="BQ225" s="504"/>
      <c r="BR225" s="513">
        <f t="shared" si="44"/>
        <v>55212</v>
      </c>
      <c r="BS225" s="514">
        <f t="shared" si="44"/>
        <v>0</v>
      </c>
      <c r="BT225" s="515">
        <f t="shared" si="44"/>
        <v>0</v>
      </c>
      <c r="BU225" s="516"/>
      <c r="BV225" s="517"/>
      <c r="BW225" s="518"/>
    </row>
    <row r="226" spans="1:76" ht="24">
      <c r="A226" s="519" t="s">
        <v>49</v>
      </c>
      <c r="B226" s="520">
        <v>52</v>
      </c>
      <c r="C226" s="520" t="s">
        <v>32</v>
      </c>
      <c r="D226" s="521">
        <v>3292</v>
      </c>
      <c r="E226" s="522" t="s">
        <v>59</v>
      </c>
      <c r="F226" s="523" t="s">
        <v>686</v>
      </c>
      <c r="G226" s="497">
        <f t="shared" si="42"/>
        <v>28800</v>
      </c>
      <c r="H226" s="498">
        <f t="shared" si="42"/>
        <v>28800</v>
      </c>
      <c r="I226" s="499">
        <f t="shared" si="42"/>
        <v>28800</v>
      </c>
      <c r="J226" s="500"/>
      <c r="K226" s="501"/>
      <c r="L226" s="502"/>
      <c r="M226" s="503"/>
      <c r="N226" s="501"/>
      <c r="O226" s="504"/>
      <c r="P226" s="500"/>
      <c r="Q226" s="501"/>
      <c r="R226" s="502"/>
      <c r="S226" s="503"/>
      <c r="T226" s="501"/>
      <c r="U226" s="504"/>
      <c r="V226" s="500"/>
      <c r="W226" s="501"/>
      <c r="X226" s="502"/>
      <c r="Y226" s="505">
        <f t="shared" si="43"/>
        <v>0</v>
      </c>
      <c r="Z226" s="506">
        <f t="shared" si="43"/>
        <v>0</v>
      </c>
      <c r="AA226" s="507">
        <f t="shared" si="43"/>
        <v>0</v>
      </c>
      <c r="AB226" s="500"/>
      <c r="AC226" s="501"/>
      <c r="AD226" s="502"/>
      <c r="AE226" s="503"/>
      <c r="AF226" s="501"/>
      <c r="AG226" s="504"/>
      <c r="AH226" s="500"/>
      <c r="AI226" s="501"/>
      <c r="AJ226" s="502"/>
      <c r="AK226" s="503"/>
      <c r="AL226" s="501"/>
      <c r="AM226" s="504"/>
      <c r="AN226" s="500"/>
      <c r="AO226" s="501"/>
      <c r="AP226" s="502"/>
      <c r="AQ226" s="503"/>
      <c r="AR226" s="501"/>
      <c r="AS226" s="504"/>
      <c r="AT226" s="500"/>
      <c r="AU226" s="501"/>
      <c r="AV226" s="502"/>
      <c r="AW226" s="503"/>
      <c r="AX226" s="501"/>
      <c r="AY226" s="504"/>
      <c r="AZ226" s="500"/>
      <c r="BA226" s="501"/>
      <c r="BB226" s="502"/>
      <c r="BC226" s="503"/>
      <c r="BD226" s="501"/>
      <c r="BE226" s="504"/>
      <c r="BF226" s="500"/>
      <c r="BG226" s="501"/>
      <c r="BH226" s="502"/>
      <c r="BI226" s="503"/>
      <c r="BJ226" s="501"/>
      <c r="BK226" s="504"/>
      <c r="BL226" s="500"/>
      <c r="BM226" s="501"/>
      <c r="BN226" s="502"/>
      <c r="BO226" s="503">
        <v>28800</v>
      </c>
      <c r="BP226" s="501">
        <v>28800</v>
      </c>
      <c r="BQ226" s="504">
        <v>28800</v>
      </c>
      <c r="BR226" s="513">
        <f t="shared" si="44"/>
        <v>28800</v>
      </c>
      <c r="BS226" s="514">
        <f t="shared" si="44"/>
        <v>28800</v>
      </c>
      <c r="BT226" s="515">
        <f t="shared" si="44"/>
        <v>28800</v>
      </c>
      <c r="BU226" s="516"/>
      <c r="BV226" s="517"/>
      <c r="BW226" s="518"/>
    </row>
    <row r="227" spans="1:76" ht="24">
      <c r="A227" s="519" t="s">
        <v>49</v>
      </c>
      <c r="B227" s="520">
        <v>52</v>
      </c>
      <c r="C227" s="520" t="s">
        <v>32</v>
      </c>
      <c r="D227" s="521">
        <v>3295</v>
      </c>
      <c r="E227" s="522" t="s">
        <v>55</v>
      </c>
      <c r="F227" s="523" t="s">
        <v>686</v>
      </c>
      <c r="G227" s="497">
        <f t="shared" si="42"/>
        <v>10745</v>
      </c>
      <c r="H227" s="498">
        <f t="shared" si="42"/>
        <v>10778</v>
      </c>
      <c r="I227" s="499">
        <f t="shared" si="42"/>
        <v>10828</v>
      </c>
      <c r="J227" s="500"/>
      <c r="K227" s="501"/>
      <c r="L227" s="502"/>
      <c r="M227" s="503"/>
      <c r="N227" s="501"/>
      <c r="O227" s="504"/>
      <c r="P227" s="500"/>
      <c r="Q227" s="501"/>
      <c r="R227" s="502"/>
      <c r="S227" s="503"/>
      <c r="T227" s="501"/>
      <c r="U227" s="504"/>
      <c r="V227" s="500"/>
      <c r="W227" s="501"/>
      <c r="X227" s="502"/>
      <c r="Y227" s="505">
        <f t="shared" si="43"/>
        <v>0</v>
      </c>
      <c r="Z227" s="506">
        <f t="shared" si="43"/>
        <v>0</v>
      </c>
      <c r="AA227" s="507">
        <f t="shared" si="43"/>
        <v>0</v>
      </c>
      <c r="AB227" s="500"/>
      <c r="AC227" s="501"/>
      <c r="AD227" s="502"/>
      <c r="AE227" s="503"/>
      <c r="AF227" s="501"/>
      <c r="AG227" s="504"/>
      <c r="AH227" s="500"/>
      <c r="AI227" s="501"/>
      <c r="AJ227" s="502"/>
      <c r="AK227" s="503"/>
      <c r="AL227" s="501"/>
      <c r="AM227" s="504"/>
      <c r="AN227" s="500"/>
      <c r="AO227" s="501"/>
      <c r="AP227" s="502"/>
      <c r="AQ227" s="503"/>
      <c r="AR227" s="501"/>
      <c r="AS227" s="504"/>
      <c r="AT227" s="500"/>
      <c r="AU227" s="501"/>
      <c r="AV227" s="502"/>
      <c r="AW227" s="503"/>
      <c r="AX227" s="501"/>
      <c r="AY227" s="504"/>
      <c r="AZ227" s="500"/>
      <c r="BA227" s="501"/>
      <c r="BB227" s="502"/>
      <c r="BC227" s="503"/>
      <c r="BD227" s="501"/>
      <c r="BE227" s="504"/>
      <c r="BF227" s="500"/>
      <c r="BG227" s="501"/>
      <c r="BH227" s="502"/>
      <c r="BI227" s="503"/>
      <c r="BJ227" s="501"/>
      <c r="BK227" s="504"/>
      <c r="BL227" s="500"/>
      <c r="BM227" s="501"/>
      <c r="BN227" s="502"/>
      <c r="BO227" s="503">
        <v>10745</v>
      </c>
      <c r="BP227" s="501">
        <v>10778</v>
      </c>
      <c r="BQ227" s="504">
        <v>10828</v>
      </c>
      <c r="BR227" s="513">
        <f t="shared" si="44"/>
        <v>10745</v>
      </c>
      <c r="BS227" s="514">
        <f t="shared" si="44"/>
        <v>10778</v>
      </c>
      <c r="BT227" s="515">
        <f t="shared" si="44"/>
        <v>10828</v>
      </c>
      <c r="BU227" s="516"/>
      <c r="BV227" s="517"/>
      <c r="BW227" s="518"/>
    </row>
    <row r="228" spans="1:76" ht="24">
      <c r="A228" s="519" t="s">
        <v>49</v>
      </c>
      <c r="B228" s="520">
        <v>52</v>
      </c>
      <c r="C228" s="520" t="s">
        <v>32</v>
      </c>
      <c r="D228" s="521">
        <v>3299</v>
      </c>
      <c r="E228" s="522" t="s">
        <v>57</v>
      </c>
      <c r="F228" s="523" t="s">
        <v>686</v>
      </c>
      <c r="G228" s="497">
        <f t="shared" si="42"/>
        <v>238472</v>
      </c>
      <c r="H228" s="498">
        <f t="shared" si="42"/>
        <v>200500</v>
      </c>
      <c r="I228" s="499">
        <f t="shared" si="42"/>
        <v>50500</v>
      </c>
      <c r="J228" s="500"/>
      <c r="K228" s="501"/>
      <c r="L228" s="502"/>
      <c r="M228" s="503"/>
      <c r="N228" s="501"/>
      <c r="O228" s="504"/>
      <c r="P228" s="500"/>
      <c r="Q228" s="501"/>
      <c r="R228" s="502"/>
      <c r="S228" s="503"/>
      <c r="T228" s="501"/>
      <c r="U228" s="504"/>
      <c r="V228" s="500"/>
      <c r="W228" s="501"/>
      <c r="X228" s="502"/>
      <c r="Y228" s="505">
        <f t="shared" si="43"/>
        <v>0</v>
      </c>
      <c r="Z228" s="506">
        <f t="shared" si="43"/>
        <v>0</v>
      </c>
      <c r="AA228" s="507">
        <f t="shared" si="43"/>
        <v>0</v>
      </c>
      <c r="AB228" s="500"/>
      <c r="AC228" s="501"/>
      <c r="AD228" s="502"/>
      <c r="AE228" s="503"/>
      <c r="AF228" s="501"/>
      <c r="AG228" s="504"/>
      <c r="AH228" s="500"/>
      <c r="AI228" s="501"/>
      <c r="AJ228" s="502"/>
      <c r="AK228" s="503"/>
      <c r="AL228" s="501"/>
      <c r="AM228" s="504"/>
      <c r="AN228" s="500"/>
      <c r="AO228" s="501"/>
      <c r="AP228" s="502"/>
      <c r="AQ228" s="503"/>
      <c r="AR228" s="501"/>
      <c r="AS228" s="504"/>
      <c r="AT228" s="500"/>
      <c r="AU228" s="501"/>
      <c r="AV228" s="502"/>
      <c r="AW228" s="503"/>
      <c r="AX228" s="501"/>
      <c r="AY228" s="504"/>
      <c r="AZ228" s="500"/>
      <c r="BA228" s="501"/>
      <c r="BB228" s="502"/>
      <c r="BC228" s="503"/>
      <c r="BD228" s="501"/>
      <c r="BE228" s="504"/>
      <c r="BF228" s="500"/>
      <c r="BG228" s="501"/>
      <c r="BH228" s="502"/>
      <c r="BI228" s="503"/>
      <c r="BJ228" s="501"/>
      <c r="BK228" s="504"/>
      <c r="BL228" s="500">
        <f>50500+187972</f>
        <v>238472</v>
      </c>
      <c r="BM228" s="501">
        <f>50500+150000</f>
        <v>200500</v>
      </c>
      <c r="BN228" s="502">
        <v>50500</v>
      </c>
      <c r="BO228" s="503"/>
      <c r="BP228" s="501"/>
      <c r="BQ228" s="504"/>
      <c r="BR228" s="513">
        <f t="shared" si="44"/>
        <v>238472</v>
      </c>
      <c r="BS228" s="514">
        <f t="shared" si="44"/>
        <v>200500</v>
      </c>
      <c r="BT228" s="515">
        <f t="shared" si="44"/>
        <v>50500</v>
      </c>
      <c r="BU228" s="516"/>
      <c r="BV228" s="517"/>
      <c r="BW228" s="518"/>
    </row>
    <row r="229" spans="1:76" ht="36">
      <c r="A229" s="519" t="s">
        <v>49</v>
      </c>
      <c r="B229" s="520">
        <v>52</v>
      </c>
      <c r="C229" s="520" t="s">
        <v>32</v>
      </c>
      <c r="D229" s="521">
        <v>3721</v>
      </c>
      <c r="E229" s="522" t="s">
        <v>813</v>
      </c>
      <c r="F229" s="523" t="s">
        <v>686</v>
      </c>
      <c r="G229" s="497">
        <f t="shared" si="42"/>
        <v>8691271</v>
      </c>
      <c r="H229" s="498">
        <f t="shared" si="42"/>
        <v>236014</v>
      </c>
      <c r="I229" s="499">
        <f t="shared" si="42"/>
        <v>1178640</v>
      </c>
      <c r="J229" s="615">
        <v>651271</v>
      </c>
      <c r="K229" s="501"/>
      <c r="L229" s="502">
        <v>1038210</v>
      </c>
      <c r="M229" s="503"/>
      <c r="N229" s="501"/>
      <c r="O229" s="504"/>
      <c r="P229" s="500"/>
      <c r="Q229" s="501"/>
      <c r="R229" s="502"/>
      <c r="S229" s="503"/>
      <c r="T229" s="501"/>
      <c r="U229" s="504"/>
      <c r="V229" s="500"/>
      <c r="W229" s="501"/>
      <c r="X229" s="502"/>
      <c r="Y229" s="505">
        <f t="shared" si="43"/>
        <v>651271</v>
      </c>
      <c r="Z229" s="506">
        <f t="shared" si="43"/>
        <v>0</v>
      </c>
      <c r="AA229" s="507">
        <f t="shared" si="43"/>
        <v>1038210</v>
      </c>
      <c r="AB229" s="500"/>
      <c r="AC229" s="501"/>
      <c r="AD229" s="502"/>
      <c r="AE229" s="503"/>
      <c r="AF229" s="501"/>
      <c r="AG229" s="504"/>
      <c r="AH229" s="500">
        <v>5240000</v>
      </c>
      <c r="AI229" s="501">
        <v>136014</v>
      </c>
      <c r="AJ229" s="502">
        <v>140430</v>
      </c>
      <c r="AK229" s="503"/>
      <c r="AL229" s="501"/>
      <c r="AM229" s="504"/>
      <c r="AN229" s="500"/>
      <c r="AO229" s="501"/>
      <c r="AP229" s="502"/>
      <c r="AQ229" s="503"/>
      <c r="AR229" s="501"/>
      <c r="AS229" s="504"/>
      <c r="AT229" s="500"/>
      <c r="AU229" s="501"/>
      <c r="AV229" s="502"/>
      <c r="AW229" s="503">
        <v>100000</v>
      </c>
      <c r="AX229" s="501">
        <v>100000</v>
      </c>
      <c r="AY229" s="504"/>
      <c r="AZ229" s="500"/>
      <c r="BA229" s="501"/>
      <c r="BB229" s="502"/>
      <c r="BC229" s="503"/>
      <c r="BD229" s="501"/>
      <c r="BE229" s="504"/>
      <c r="BF229" s="500"/>
      <c r="BG229" s="501"/>
      <c r="BH229" s="502"/>
      <c r="BI229" s="503"/>
      <c r="BJ229" s="501"/>
      <c r="BK229" s="504"/>
      <c r="BL229" s="500">
        <v>2700000</v>
      </c>
      <c r="BM229" s="501"/>
      <c r="BN229" s="502"/>
      <c r="BO229" s="503"/>
      <c r="BP229" s="501"/>
      <c r="BQ229" s="504"/>
      <c r="BR229" s="513">
        <f t="shared" si="44"/>
        <v>8691271</v>
      </c>
      <c r="BS229" s="514">
        <f t="shared" si="44"/>
        <v>236014</v>
      </c>
      <c r="BT229" s="515">
        <f t="shared" si="44"/>
        <v>1178640</v>
      </c>
      <c r="BU229" s="516"/>
      <c r="BV229" s="517"/>
      <c r="BW229" s="518"/>
      <c r="BX229" s="642"/>
    </row>
    <row r="230" spans="1:76" ht="36">
      <c r="A230" s="519" t="s">
        <v>49</v>
      </c>
      <c r="B230" s="520">
        <v>52</v>
      </c>
      <c r="C230" s="520" t="s">
        <v>32</v>
      </c>
      <c r="D230" s="521">
        <v>4124</v>
      </c>
      <c r="E230" s="522" t="s">
        <v>721</v>
      </c>
      <c r="F230" s="523" t="s">
        <v>686</v>
      </c>
      <c r="G230" s="497">
        <f t="shared" si="42"/>
        <v>0</v>
      </c>
      <c r="H230" s="498">
        <f t="shared" si="42"/>
        <v>200000</v>
      </c>
      <c r="I230" s="499">
        <f t="shared" si="42"/>
        <v>200000</v>
      </c>
      <c r="J230" s="500"/>
      <c r="K230" s="501"/>
      <c r="L230" s="502"/>
      <c r="M230" s="503"/>
      <c r="N230" s="501"/>
      <c r="O230" s="504"/>
      <c r="P230" s="500"/>
      <c r="Q230" s="501"/>
      <c r="R230" s="502"/>
      <c r="S230" s="503"/>
      <c r="T230" s="501"/>
      <c r="U230" s="504"/>
      <c r="V230" s="500"/>
      <c r="W230" s="501"/>
      <c r="X230" s="502"/>
      <c r="Y230" s="505">
        <f t="shared" si="43"/>
        <v>0</v>
      </c>
      <c r="Z230" s="506">
        <f t="shared" si="43"/>
        <v>0</v>
      </c>
      <c r="AA230" s="507">
        <f t="shared" si="43"/>
        <v>0</v>
      </c>
      <c r="AB230" s="500"/>
      <c r="AC230" s="501"/>
      <c r="AD230" s="502"/>
      <c r="AE230" s="503"/>
      <c r="AF230" s="501"/>
      <c r="AG230" s="504"/>
      <c r="AH230" s="500"/>
      <c r="AI230" s="501">
        <v>200000</v>
      </c>
      <c r="AJ230" s="502">
        <v>200000</v>
      </c>
      <c r="AK230" s="503"/>
      <c r="AL230" s="501"/>
      <c r="AM230" s="504"/>
      <c r="AN230" s="500"/>
      <c r="AO230" s="501"/>
      <c r="AP230" s="502"/>
      <c r="AQ230" s="503"/>
      <c r="AR230" s="501"/>
      <c r="AS230" s="504"/>
      <c r="AT230" s="500"/>
      <c r="AU230" s="501"/>
      <c r="AV230" s="502"/>
      <c r="AW230" s="503"/>
      <c r="AX230" s="501"/>
      <c r="AY230" s="504"/>
      <c r="AZ230" s="500"/>
      <c r="BA230" s="501"/>
      <c r="BB230" s="502"/>
      <c r="BC230" s="503"/>
      <c r="BD230" s="501"/>
      <c r="BE230" s="504"/>
      <c r="BF230" s="500"/>
      <c r="BG230" s="501"/>
      <c r="BH230" s="502"/>
      <c r="BI230" s="503"/>
      <c r="BJ230" s="501"/>
      <c r="BK230" s="504"/>
      <c r="BL230" s="500"/>
      <c r="BM230" s="501"/>
      <c r="BN230" s="502"/>
      <c r="BO230" s="503"/>
      <c r="BP230" s="501"/>
      <c r="BQ230" s="504"/>
      <c r="BR230" s="513">
        <f t="shared" si="44"/>
        <v>0</v>
      </c>
      <c r="BS230" s="514">
        <f t="shared" si="44"/>
        <v>200000</v>
      </c>
      <c r="BT230" s="515">
        <f t="shared" si="44"/>
        <v>200000</v>
      </c>
      <c r="BU230" s="516"/>
      <c r="BV230" s="517"/>
      <c r="BW230" s="518"/>
    </row>
    <row r="231" spans="1:76" ht="24">
      <c r="A231" s="519" t="s">
        <v>49</v>
      </c>
      <c r="B231" s="520">
        <v>52</v>
      </c>
      <c r="C231" s="520" t="s">
        <v>32</v>
      </c>
      <c r="D231" s="521">
        <v>4212</v>
      </c>
      <c r="E231" s="522" t="s">
        <v>58</v>
      </c>
      <c r="F231" s="523" t="s">
        <v>686</v>
      </c>
      <c r="G231" s="497">
        <f t="shared" si="42"/>
        <v>1000000</v>
      </c>
      <c r="H231" s="498">
        <f t="shared" si="42"/>
        <v>0</v>
      </c>
      <c r="I231" s="499">
        <f t="shared" si="42"/>
        <v>0</v>
      </c>
      <c r="J231" s="500"/>
      <c r="K231" s="501"/>
      <c r="L231" s="502"/>
      <c r="M231" s="503"/>
      <c r="N231" s="501"/>
      <c r="O231" s="504"/>
      <c r="P231" s="500"/>
      <c r="Q231" s="501"/>
      <c r="R231" s="502"/>
      <c r="S231" s="503"/>
      <c r="T231" s="501"/>
      <c r="U231" s="504"/>
      <c r="V231" s="500"/>
      <c r="W231" s="501"/>
      <c r="X231" s="502"/>
      <c r="Y231" s="505">
        <f t="shared" si="43"/>
        <v>0</v>
      </c>
      <c r="Z231" s="506">
        <f t="shared" si="43"/>
        <v>0</v>
      </c>
      <c r="AA231" s="507">
        <f t="shared" si="43"/>
        <v>0</v>
      </c>
      <c r="AB231" s="500"/>
      <c r="AC231" s="501"/>
      <c r="AD231" s="502"/>
      <c r="AE231" s="503"/>
      <c r="AF231" s="501"/>
      <c r="AG231" s="504"/>
      <c r="AH231" s="500"/>
      <c r="AI231" s="501"/>
      <c r="AJ231" s="502"/>
      <c r="AK231" s="503"/>
      <c r="AL231" s="501"/>
      <c r="AM231" s="504"/>
      <c r="AN231" s="500"/>
      <c r="AO231" s="501"/>
      <c r="AP231" s="502"/>
      <c r="AQ231" s="503"/>
      <c r="AR231" s="501"/>
      <c r="AS231" s="504"/>
      <c r="AT231" s="500"/>
      <c r="AU231" s="501"/>
      <c r="AV231" s="502"/>
      <c r="AW231" s="503"/>
      <c r="AX231" s="501"/>
      <c r="AY231" s="504"/>
      <c r="AZ231" s="500"/>
      <c r="BA231" s="501"/>
      <c r="BB231" s="502"/>
      <c r="BC231" s="503"/>
      <c r="BD231" s="501"/>
      <c r="BE231" s="504"/>
      <c r="BF231" s="500"/>
      <c r="BG231" s="501"/>
      <c r="BH231" s="502"/>
      <c r="BI231" s="503"/>
      <c r="BJ231" s="501"/>
      <c r="BK231" s="504"/>
      <c r="BL231" s="500">
        <v>1000000</v>
      </c>
      <c r="BM231" s="501"/>
      <c r="BN231" s="502"/>
      <c r="BO231" s="503"/>
      <c r="BP231" s="501"/>
      <c r="BQ231" s="504"/>
      <c r="BR231" s="513">
        <f t="shared" si="44"/>
        <v>1000000</v>
      </c>
      <c r="BS231" s="514">
        <f t="shared" si="44"/>
        <v>0</v>
      </c>
      <c r="BT231" s="515">
        <f t="shared" si="44"/>
        <v>0</v>
      </c>
      <c r="BU231" s="516"/>
      <c r="BV231" s="517"/>
      <c r="BW231" s="518"/>
    </row>
    <row r="232" spans="1:76" ht="24">
      <c r="A232" s="519" t="s">
        <v>49</v>
      </c>
      <c r="B232" s="520">
        <v>52</v>
      </c>
      <c r="C232" s="520" t="s">
        <v>32</v>
      </c>
      <c r="D232" s="521">
        <v>4221</v>
      </c>
      <c r="E232" s="522" t="s">
        <v>63</v>
      </c>
      <c r="F232" s="523" t="s">
        <v>686</v>
      </c>
      <c r="G232" s="497">
        <f t="shared" si="42"/>
        <v>224100</v>
      </c>
      <c r="H232" s="498">
        <f t="shared" si="42"/>
        <v>225368</v>
      </c>
      <c r="I232" s="499">
        <f t="shared" si="42"/>
        <v>144275</v>
      </c>
      <c r="J232" s="500"/>
      <c r="K232" s="501"/>
      <c r="L232" s="502"/>
      <c r="M232" s="503"/>
      <c r="N232" s="501"/>
      <c r="O232" s="504"/>
      <c r="P232" s="500"/>
      <c r="Q232" s="501"/>
      <c r="R232" s="502"/>
      <c r="S232" s="503"/>
      <c r="T232" s="501"/>
      <c r="U232" s="504"/>
      <c r="V232" s="500"/>
      <c r="W232" s="501"/>
      <c r="X232" s="502"/>
      <c r="Y232" s="505">
        <f t="shared" si="43"/>
        <v>0</v>
      </c>
      <c r="Z232" s="506">
        <f t="shared" si="43"/>
        <v>0</v>
      </c>
      <c r="AA232" s="507">
        <f t="shared" si="43"/>
        <v>0</v>
      </c>
      <c r="AB232" s="500"/>
      <c r="AC232" s="501"/>
      <c r="AD232" s="502"/>
      <c r="AE232" s="503"/>
      <c r="AF232" s="501"/>
      <c r="AG232" s="504"/>
      <c r="AH232" s="500"/>
      <c r="AI232" s="501"/>
      <c r="AJ232" s="502"/>
      <c r="AK232" s="503"/>
      <c r="AL232" s="501"/>
      <c r="AM232" s="504"/>
      <c r="AN232" s="500"/>
      <c r="AO232" s="501">
        <v>60000</v>
      </c>
      <c r="AP232" s="502">
        <v>60000</v>
      </c>
      <c r="AQ232" s="503"/>
      <c r="AR232" s="501"/>
      <c r="AS232" s="504"/>
      <c r="AT232" s="500"/>
      <c r="AU232" s="501"/>
      <c r="AV232" s="502"/>
      <c r="AW232" s="503">
        <v>200000</v>
      </c>
      <c r="AX232" s="501">
        <v>142468</v>
      </c>
      <c r="AY232" s="504">
        <v>74975</v>
      </c>
      <c r="AZ232" s="500"/>
      <c r="BA232" s="501"/>
      <c r="BB232" s="502"/>
      <c r="BC232" s="503"/>
      <c r="BD232" s="501"/>
      <c r="BE232" s="504"/>
      <c r="BF232" s="500"/>
      <c r="BG232" s="501"/>
      <c r="BH232" s="502"/>
      <c r="BI232" s="503">
        <v>7500</v>
      </c>
      <c r="BJ232" s="501"/>
      <c r="BK232" s="504"/>
      <c r="BL232" s="500"/>
      <c r="BM232" s="501"/>
      <c r="BN232" s="502"/>
      <c r="BO232" s="503">
        <v>16600</v>
      </c>
      <c r="BP232" s="501">
        <v>22900</v>
      </c>
      <c r="BQ232" s="504">
        <v>9300</v>
      </c>
      <c r="BR232" s="513">
        <f t="shared" si="44"/>
        <v>224100</v>
      </c>
      <c r="BS232" s="514">
        <f t="shared" si="44"/>
        <v>225368</v>
      </c>
      <c r="BT232" s="515">
        <f t="shared" si="44"/>
        <v>144275</v>
      </c>
      <c r="BU232" s="516"/>
      <c r="BV232" s="517"/>
      <c r="BW232" s="518"/>
    </row>
    <row r="233" spans="1:76" ht="36">
      <c r="A233" s="519" t="s">
        <v>49</v>
      </c>
      <c r="B233" s="520">
        <v>52</v>
      </c>
      <c r="C233" s="520" t="s">
        <v>32</v>
      </c>
      <c r="D233" s="521">
        <v>4224</v>
      </c>
      <c r="E233" s="522" t="s">
        <v>73</v>
      </c>
      <c r="F233" s="523" t="s">
        <v>686</v>
      </c>
      <c r="G233" s="497">
        <f t="shared" si="42"/>
        <v>1347396</v>
      </c>
      <c r="H233" s="498">
        <f t="shared" si="42"/>
        <v>1448984</v>
      </c>
      <c r="I233" s="499">
        <f t="shared" si="42"/>
        <v>1475000</v>
      </c>
      <c r="J233" s="500"/>
      <c r="K233" s="501"/>
      <c r="L233" s="502"/>
      <c r="M233" s="503"/>
      <c r="N233" s="501"/>
      <c r="O233" s="504"/>
      <c r="P233" s="500"/>
      <c r="Q233" s="501"/>
      <c r="R233" s="502"/>
      <c r="S233" s="503">
        <v>20000</v>
      </c>
      <c r="T233" s="501">
        <v>23984</v>
      </c>
      <c r="U233" s="504"/>
      <c r="V233" s="500"/>
      <c r="W233" s="501"/>
      <c r="X233" s="502"/>
      <c r="Y233" s="505">
        <f t="shared" si="43"/>
        <v>20000</v>
      </c>
      <c r="Z233" s="506">
        <f t="shared" si="43"/>
        <v>23984</v>
      </c>
      <c r="AA233" s="507">
        <f t="shared" si="43"/>
        <v>0</v>
      </c>
      <c r="AB233" s="500"/>
      <c r="AC233" s="501"/>
      <c r="AD233" s="502"/>
      <c r="AE233" s="503"/>
      <c r="AF233" s="501"/>
      <c r="AG233" s="504"/>
      <c r="AH233" s="500"/>
      <c r="AI233" s="501"/>
      <c r="AJ233" s="502"/>
      <c r="AK233" s="503">
        <f>395000-71613</f>
        <v>323387</v>
      </c>
      <c r="AL233" s="501">
        <v>405000</v>
      </c>
      <c r="AM233" s="504">
        <v>425000</v>
      </c>
      <c r="AN233" s="500">
        <f>800000-18141</f>
        <v>781859</v>
      </c>
      <c r="AO233" s="501">
        <v>800000</v>
      </c>
      <c r="AP233" s="502">
        <v>800000</v>
      </c>
      <c r="AQ233" s="503"/>
      <c r="AR233" s="501"/>
      <c r="AS233" s="504"/>
      <c r="AT233" s="500"/>
      <c r="AU233" s="501"/>
      <c r="AV233" s="502"/>
      <c r="AW233" s="503">
        <v>100000</v>
      </c>
      <c r="AX233" s="501"/>
      <c r="AY233" s="504"/>
      <c r="AZ233" s="500"/>
      <c r="BA233" s="501"/>
      <c r="BB233" s="502"/>
      <c r="BC233" s="503"/>
      <c r="BD233" s="501"/>
      <c r="BE233" s="504"/>
      <c r="BF233" s="500">
        <v>95150</v>
      </c>
      <c r="BG233" s="501"/>
      <c r="BH233" s="502"/>
      <c r="BI233" s="503"/>
      <c r="BJ233" s="501"/>
      <c r="BK233" s="504"/>
      <c r="BL233" s="500">
        <v>27000</v>
      </c>
      <c r="BM233" s="501">
        <v>220000</v>
      </c>
      <c r="BN233" s="502">
        <v>250000</v>
      </c>
      <c r="BO233" s="503"/>
      <c r="BP233" s="501"/>
      <c r="BQ233" s="504"/>
      <c r="BR233" s="513">
        <f t="shared" si="44"/>
        <v>1347396</v>
      </c>
      <c r="BS233" s="514">
        <f t="shared" si="44"/>
        <v>1448984</v>
      </c>
      <c r="BT233" s="515">
        <f t="shared" si="44"/>
        <v>1475000</v>
      </c>
      <c r="BU233" s="516"/>
      <c r="BV233" s="517"/>
      <c r="BW233" s="518"/>
    </row>
    <row r="234" spans="1:76" ht="24">
      <c r="A234" s="519" t="s">
        <v>49</v>
      </c>
      <c r="B234" s="520">
        <v>52</v>
      </c>
      <c r="C234" s="520" t="s">
        <v>32</v>
      </c>
      <c r="D234" s="521">
        <v>4225</v>
      </c>
      <c r="E234" s="522" t="s">
        <v>85</v>
      </c>
      <c r="F234" s="523" t="s">
        <v>686</v>
      </c>
      <c r="G234" s="497">
        <f t="shared" si="42"/>
        <v>0</v>
      </c>
      <c r="H234" s="498">
        <f t="shared" si="42"/>
        <v>250000</v>
      </c>
      <c r="I234" s="499">
        <f t="shared" si="42"/>
        <v>270000</v>
      </c>
      <c r="J234" s="500"/>
      <c r="K234" s="501"/>
      <c r="L234" s="502"/>
      <c r="M234" s="503"/>
      <c r="N234" s="501"/>
      <c r="O234" s="504"/>
      <c r="P234" s="500"/>
      <c r="Q234" s="501"/>
      <c r="R234" s="502"/>
      <c r="S234" s="503"/>
      <c r="T234" s="501"/>
      <c r="U234" s="504"/>
      <c r="V234" s="500"/>
      <c r="W234" s="501"/>
      <c r="X234" s="502"/>
      <c r="Y234" s="505">
        <f t="shared" si="43"/>
        <v>0</v>
      </c>
      <c r="Z234" s="506">
        <f t="shared" si="43"/>
        <v>0</v>
      </c>
      <c r="AA234" s="507">
        <f t="shared" si="43"/>
        <v>0</v>
      </c>
      <c r="AB234" s="500"/>
      <c r="AC234" s="501"/>
      <c r="AD234" s="502"/>
      <c r="AE234" s="503"/>
      <c r="AF234" s="501"/>
      <c r="AG234" s="504"/>
      <c r="AH234" s="500"/>
      <c r="AI234" s="501"/>
      <c r="AJ234" s="502"/>
      <c r="AK234" s="503"/>
      <c r="AL234" s="501"/>
      <c r="AM234" s="504"/>
      <c r="AN234" s="500"/>
      <c r="AO234" s="501"/>
      <c r="AP234" s="502"/>
      <c r="AQ234" s="503"/>
      <c r="AR234" s="501"/>
      <c r="AS234" s="504"/>
      <c r="AT234" s="500"/>
      <c r="AU234" s="501"/>
      <c r="AV234" s="502"/>
      <c r="AW234" s="503"/>
      <c r="AX234" s="501"/>
      <c r="AY234" s="504"/>
      <c r="AZ234" s="500"/>
      <c r="BA234" s="501"/>
      <c r="BB234" s="502"/>
      <c r="BC234" s="503"/>
      <c r="BD234" s="501"/>
      <c r="BE234" s="504"/>
      <c r="BF234" s="500"/>
      <c r="BG234" s="501"/>
      <c r="BH234" s="502"/>
      <c r="BI234" s="503"/>
      <c r="BJ234" s="501"/>
      <c r="BK234" s="504"/>
      <c r="BL234" s="500"/>
      <c r="BM234" s="501">
        <v>250000</v>
      </c>
      <c r="BN234" s="502">
        <v>270000</v>
      </c>
      <c r="BO234" s="503"/>
      <c r="BP234" s="501"/>
      <c r="BQ234" s="504"/>
      <c r="BR234" s="513">
        <f t="shared" si="44"/>
        <v>0</v>
      </c>
      <c r="BS234" s="514">
        <f t="shared" si="44"/>
        <v>250000</v>
      </c>
      <c r="BT234" s="515">
        <f t="shared" si="44"/>
        <v>270000</v>
      </c>
      <c r="BU234" s="516"/>
      <c r="BV234" s="517"/>
      <c r="BW234" s="518"/>
    </row>
    <row r="235" spans="1:76" s="598" customFormat="1" ht="24">
      <c r="A235" s="519" t="s">
        <v>49</v>
      </c>
      <c r="B235" s="520">
        <v>52</v>
      </c>
      <c r="C235" s="520" t="s">
        <v>32</v>
      </c>
      <c r="D235" s="521">
        <v>4226</v>
      </c>
      <c r="E235" s="522" t="s">
        <v>716</v>
      </c>
      <c r="F235" s="523" t="s">
        <v>686</v>
      </c>
      <c r="G235" s="497">
        <f t="shared" si="42"/>
        <v>0</v>
      </c>
      <c r="H235" s="498">
        <f t="shared" si="42"/>
        <v>180000</v>
      </c>
      <c r="I235" s="499">
        <f t="shared" si="42"/>
        <v>230000</v>
      </c>
      <c r="J235" s="631"/>
      <c r="K235" s="632"/>
      <c r="L235" s="633"/>
      <c r="M235" s="634"/>
      <c r="N235" s="632"/>
      <c r="O235" s="635"/>
      <c r="P235" s="631"/>
      <c r="Q235" s="632"/>
      <c r="R235" s="633"/>
      <c r="S235" s="634"/>
      <c r="T235" s="632"/>
      <c r="U235" s="635"/>
      <c r="V235" s="631"/>
      <c r="W235" s="632"/>
      <c r="X235" s="633"/>
      <c r="Y235" s="505">
        <f t="shared" si="43"/>
        <v>0</v>
      </c>
      <c r="Z235" s="506">
        <f t="shared" si="43"/>
        <v>0</v>
      </c>
      <c r="AA235" s="507">
        <f t="shared" si="43"/>
        <v>0</v>
      </c>
      <c r="AB235" s="631"/>
      <c r="AC235" s="632"/>
      <c r="AD235" s="633"/>
      <c r="AE235" s="634"/>
      <c r="AF235" s="632"/>
      <c r="AG235" s="635"/>
      <c r="AH235" s="631"/>
      <c r="AI235" s="632"/>
      <c r="AJ235" s="633"/>
      <c r="AK235" s="634"/>
      <c r="AL235" s="632"/>
      <c r="AM235" s="635"/>
      <c r="AN235" s="631"/>
      <c r="AO235" s="632"/>
      <c r="AP235" s="633"/>
      <c r="AQ235" s="634"/>
      <c r="AR235" s="632"/>
      <c r="AS235" s="635"/>
      <c r="AT235" s="631"/>
      <c r="AU235" s="632"/>
      <c r="AV235" s="633"/>
      <c r="AW235" s="634"/>
      <c r="AX235" s="632"/>
      <c r="AY235" s="635"/>
      <c r="AZ235" s="631"/>
      <c r="BA235" s="632"/>
      <c r="BB235" s="633"/>
      <c r="BC235" s="634"/>
      <c r="BD235" s="632"/>
      <c r="BE235" s="635"/>
      <c r="BF235" s="631"/>
      <c r="BG235" s="632"/>
      <c r="BH235" s="633"/>
      <c r="BI235" s="634"/>
      <c r="BJ235" s="632"/>
      <c r="BK235" s="635"/>
      <c r="BL235" s="631"/>
      <c r="BM235" s="501">
        <v>180000</v>
      </c>
      <c r="BN235" s="502">
        <v>230000</v>
      </c>
      <c r="BO235" s="634"/>
      <c r="BP235" s="632"/>
      <c r="BQ235" s="635"/>
      <c r="BR235" s="513">
        <f t="shared" si="44"/>
        <v>0</v>
      </c>
      <c r="BS235" s="514">
        <f t="shared" si="44"/>
        <v>180000</v>
      </c>
      <c r="BT235" s="515">
        <f t="shared" si="44"/>
        <v>230000</v>
      </c>
      <c r="BU235" s="636"/>
      <c r="BV235" s="637"/>
      <c r="BW235" s="638"/>
    </row>
    <row r="236" spans="1:76" ht="24">
      <c r="A236" s="519" t="s">
        <v>49</v>
      </c>
      <c r="B236" s="520">
        <v>52</v>
      </c>
      <c r="C236" s="520" t="s">
        <v>32</v>
      </c>
      <c r="D236" s="521">
        <v>4231</v>
      </c>
      <c r="E236" s="522" t="s">
        <v>98</v>
      </c>
      <c r="F236" s="523" t="s">
        <v>686</v>
      </c>
      <c r="G236" s="497">
        <f t="shared" si="42"/>
        <v>0</v>
      </c>
      <c r="H236" s="498">
        <f t="shared" si="42"/>
        <v>200000</v>
      </c>
      <c r="I236" s="499">
        <f t="shared" si="42"/>
        <v>250000</v>
      </c>
      <c r="J236" s="500"/>
      <c r="K236" s="501"/>
      <c r="L236" s="502"/>
      <c r="M236" s="503"/>
      <c r="N236" s="501"/>
      <c r="O236" s="504"/>
      <c r="P236" s="500"/>
      <c r="Q236" s="501"/>
      <c r="R236" s="502"/>
      <c r="S236" s="503"/>
      <c r="T236" s="501"/>
      <c r="U236" s="504"/>
      <c r="V236" s="500"/>
      <c r="W236" s="501"/>
      <c r="X236" s="502"/>
      <c r="Y236" s="505">
        <f t="shared" si="43"/>
        <v>0</v>
      </c>
      <c r="Z236" s="506">
        <f t="shared" si="43"/>
        <v>0</v>
      </c>
      <c r="AA236" s="507">
        <f t="shared" si="43"/>
        <v>0</v>
      </c>
      <c r="AB236" s="500"/>
      <c r="AC236" s="501"/>
      <c r="AD236" s="502"/>
      <c r="AE236" s="503"/>
      <c r="AF236" s="501"/>
      <c r="AG236" s="504"/>
      <c r="AH236" s="500"/>
      <c r="AI236" s="501"/>
      <c r="AJ236" s="502"/>
      <c r="AK236" s="503"/>
      <c r="AL236" s="501"/>
      <c r="AM236" s="504"/>
      <c r="AN236" s="500"/>
      <c r="AO236" s="501"/>
      <c r="AP236" s="502"/>
      <c r="AQ236" s="503"/>
      <c r="AR236" s="501"/>
      <c r="AS236" s="504"/>
      <c r="AT236" s="500"/>
      <c r="AU236" s="501"/>
      <c r="AV236" s="502"/>
      <c r="AW236" s="503"/>
      <c r="AX236" s="501"/>
      <c r="AY236" s="504"/>
      <c r="AZ236" s="500"/>
      <c r="BA236" s="501"/>
      <c r="BB236" s="502"/>
      <c r="BC236" s="503"/>
      <c r="BD236" s="501"/>
      <c r="BE236" s="504"/>
      <c r="BF236" s="500"/>
      <c r="BG236" s="501"/>
      <c r="BH236" s="502"/>
      <c r="BI236" s="503"/>
      <c r="BJ236" s="501"/>
      <c r="BK236" s="504"/>
      <c r="BL236" s="500"/>
      <c r="BM236" s="501">
        <v>200000</v>
      </c>
      <c r="BN236" s="502">
        <v>250000</v>
      </c>
      <c r="BO236" s="503"/>
      <c r="BP236" s="501"/>
      <c r="BQ236" s="504"/>
      <c r="BR236" s="513">
        <f t="shared" si="44"/>
        <v>0</v>
      </c>
      <c r="BS236" s="514">
        <f t="shared" si="44"/>
        <v>200000</v>
      </c>
      <c r="BT236" s="515">
        <f t="shared" si="44"/>
        <v>250000</v>
      </c>
      <c r="BU236" s="516"/>
      <c r="BV236" s="517"/>
      <c r="BW236" s="518"/>
    </row>
    <row r="237" spans="1:76" ht="24">
      <c r="A237" s="519" t="s">
        <v>49</v>
      </c>
      <c r="B237" s="520">
        <v>52</v>
      </c>
      <c r="C237" s="520" t="s">
        <v>32</v>
      </c>
      <c r="D237" s="521">
        <v>4241</v>
      </c>
      <c r="E237" s="522" t="s">
        <v>74</v>
      </c>
      <c r="F237" s="523" t="s">
        <v>686</v>
      </c>
      <c r="G237" s="497">
        <f t="shared" si="42"/>
        <v>103000</v>
      </c>
      <c r="H237" s="498">
        <f t="shared" si="42"/>
        <v>207300</v>
      </c>
      <c r="I237" s="499">
        <f t="shared" si="42"/>
        <v>205000</v>
      </c>
      <c r="J237" s="500"/>
      <c r="K237" s="501"/>
      <c r="L237" s="502"/>
      <c r="M237" s="503"/>
      <c r="N237" s="501"/>
      <c r="O237" s="504"/>
      <c r="P237" s="500"/>
      <c r="Q237" s="501"/>
      <c r="R237" s="502"/>
      <c r="S237" s="503"/>
      <c r="T237" s="501"/>
      <c r="U237" s="504"/>
      <c r="V237" s="500"/>
      <c r="W237" s="501"/>
      <c r="X237" s="502"/>
      <c r="Y237" s="505">
        <f t="shared" si="43"/>
        <v>0</v>
      </c>
      <c r="Z237" s="506">
        <f t="shared" si="43"/>
        <v>0</v>
      </c>
      <c r="AA237" s="507">
        <f t="shared" si="43"/>
        <v>0</v>
      </c>
      <c r="AB237" s="500"/>
      <c r="AC237" s="501"/>
      <c r="AD237" s="502"/>
      <c r="AE237" s="503"/>
      <c r="AF237" s="501"/>
      <c r="AG237" s="504"/>
      <c r="AH237" s="500"/>
      <c r="AI237" s="501"/>
      <c r="AJ237" s="502"/>
      <c r="AK237" s="503"/>
      <c r="AL237" s="501"/>
      <c r="AM237" s="504"/>
      <c r="AN237" s="500"/>
      <c r="AO237" s="501"/>
      <c r="AP237" s="502"/>
      <c r="AQ237" s="503"/>
      <c r="AR237" s="501"/>
      <c r="AS237" s="504"/>
      <c r="AT237" s="500"/>
      <c r="AU237" s="501"/>
      <c r="AV237" s="502"/>
      <c r="AW237" s="503"/>
      <c r="AX237" s="501"/>
      <c r="AY237" s="504"/>
      <c r="AZ237" s="500"/>
      <c r="BA237" s="501"/>
      <c r="BB237" s="502"/>
      <c r="BC237" s="503"/>
      <c r="BD237" s="501"/>
      <c r="BE237" s="504"/>
      <c r="BF237" s="500"/>
      <c r="BG237" s="501"/>
      <c r="BH237" s="502"/>
      <c r="BI237" s="503"/>
      <c r="BJ237" s="501"/>
      <c r="BK237" s="504"/>
      <c r="BL237" s="500"/>
      <c r="BM237" s="501"/>
      <c r="BN237" s="502"/>
      <c r="BO237" s="503">
        <f>203000-100000</f>
        <v>103000</v>
      </c>
      <c r="BP237" s="501">
        <v>207300</v>
      </c>
      <c r="BQ237" s="504">
        <v>205000</v>
      </c>
      <c r="BR237" s="513">
        <f t="shared" si="44"/>
        <v>103000</v>
      </c>
      <c r="BS237" s="514">
        <f t="shared" si="44"/>
        <v>207300</v>
      </c>
      <c r="BT237" s="515">
        <f t="shared" si="44"/>
        <v>205000</v>
      </c>
      <c r="BU237" s="516"/>
      <c r="BV237" s="517"/>
      <c r="BW237" s="518"/>
    </row>
    <row r="238" spans="1:76" ht="36.75" thickBot="1">
      <c r="A238" s="524" t="s">
        <v>49</v>
      </c>
      <c r="B238" s="525">
        <v>52</v>
      </c>
      <c r="C238" s="525" t="s">
        <v>32</v>
      </c>
      <c r="D238" s="526">
        <v>4511</v>
      </c>
      <c r="E238" s="527" t="s">
        <v>91</v>
      </c>
      <c r="F238" s="528" t="s">
        <v>686</v>
      </c>
      <c r="G238" s="529">
        <f t="shared" si="42"/>
        <v>63089</v>
      </c>
      <c r="H238" s="530">
        <f t="shared" si="42"/>
        <v>1714771</v>
      </c>
      <c r="I238" s="531">
        <f t="shared" si="42"/>
        <v>595500</v>
      </c>
      <c r="J238" s="532"/>
      <c r="K238" s="533">
        <v>1119271</v>
      </c>
      <c r="L238" s="534"/>
      <c r="M238" s="535"/>
      <c r="N238" s="533"/>
      <c r="O238" s="536"/>
      <c r="P238" s="532"/>
      <c r="Q238" s="533"/>
      <c r="R238" s="534"/>
      <c r="S238" s="535"/>
      <c r="T238" s="533"/>
      <c r="U238" s="536"/>
      <c r="V238" s="532"/>
      <c r="W238" s="533"/>
      <c r="X238" s="534"/>
      <c r="Y238" s="537">
        <f t="shared" si="43"/>
        <v>0</v>
      </c>
      <c r="Z238" s="538">
        <f t="shared" si="43"/>
        <v>1119271</v>
      </c>
      <c r="AA238" s="539">
        <f t="shared" si="43"/>
        <v>0</v>
      </c>
      <c r="AB238" s="532"/>
      <c r="AC238" s="533"/>
      <c r="AD238" s="534"/>
      <c r="AE238" s="535"/>
      <c r="AF238" s="533"/>
      <c r="AG238" s="536"/>
      <c r="AH238" s="532"/>
      <c r="AI238" s="533"/>
      <c r="AJ238" s="534"/>
      <c r="AK238" s="535"/>
      <c r="AL238" s="533"/>
      <c r="AM238" s="536"/>
      <c r="AN238" s="532"/>
      <c r="AO238" s="533"/>
      <c r="AP238" s="534"/>
      <c r="AQ238" s="535"/>
      <c r="AR238" s="533"/>
      <c r="AS238" s="536"/>
      <c r="AT238" s="532"/>
      <c r="AU238" s="533"/>
      <c r="AV238" s="534"/>
      <c r="AW238" s="535"/>
      <c r="AX238" s="533"/>
      <c r="AY238" s="536"/>
      <c r="AZ238" s="532"/>
      <c r="BA238" s="533"/>
      <c r="BB238" s="534"/>
      <c r="BC238" s="535"/>
      <c r="BD238" s="533"/>
      <c r="BE238" s="536"/>
      <c r="BF238" s="532"/>
      <c r="BG238" s="533">
        <v>450000</v>
      </c>
      <c r="BH238" s="534">
        <v>450000</v>
      </c>
      <c r="BI238" s="535">
        <v>63089</v>
      </c>
      <c r="BJ238" s="533">
        <v>145500</v>
      </c>
      <c r="BK238" s="536">
        <v>145500</v>
      </c>
      <c r="BL238" s="532"/>
      <c r="BM238" s="533"/>
      <c r="BN238" s="534"/>
      <c r="BO238" s="535"/>
      <c r="BP238" s="533"/>
      <c r="BQ238" s="536"/>
      <c r="BR238" s="546">
        <f t="shared" si="44"/>
        <v>63089</v>
      </c>
      <c r="BS238" s="547">
        <f t="shared" si="44"/>
        <v>1714771</v>
      </c>
      <c r="BT238" s="548">
        <f t="shared" si="44"/>
        <v>595500</v>
      </c>
      <c r="BU238" s="549"/>
      <c r="BV238" s="550"/>
      <c r="BW238" s="551"/>
    </row>
    <row r="239" spans="1:76" ht="12.75" thickBot="1">
      <c r="A239" s="581" t="s">
        <v>49</v>
      </c>
      <c r="B239" s="554">
        <v>52</v>
      </c>
      <c r="C239" s="554" t="s">
        <v>32</v>
      </c>
      <c r="D239" s="555"/>
      <c r="E239" s="556" t="s">
        <v>161</v>
      </c>
      <c r="F239" s="557" t="s">
        <v>686</v>
      </c>
      <c r="G239" s="558">
        <f t="shared" ref="G239:AL239" si="45">SUM(G204:G238)</f>
        <v>17514642</v>
      </c>
      <c r="H239" s="559">
        <f t="shared" si="45"/>
        <v>10494476</v>
      </c>
      <c r="I239" s="560">
        <f t="shared" si="45"/>
        <v>10232506</v>
      </c>
      <c r="J239" s="561">
        <f t="shared" si="45"/>
        <v>666271</v>
      </c>
      <c r="K239" s="559">
        <f t="shared" si="45"/>
        <v>1134271</v>
      </c>
      <c r="L239" s="562">
        <f t="shared" si="45"/>
        <v>1053210</v>
      </c>
      <c r="M239" s="558">
        <f t="shared" si="45"/>
        <v>0</v>
      </c>
      <c r="N239" s="559">
        <f t="shared" si="45"/>
        <v>0</v>
      </c>
      <c r="O239" s="560">
        <f t="shared" si="45"/>
        <v>0</v>
      </c>
      <c r="P239" s="561">
        <f t="shared" si="45"/>
        <v>0</v>
      </c>
      <c r="Q239" s="559">
        <f t="shared" si="45"/>
        <v>0</v>
      </c>
      <c r="R239" s="562">
        <f t="shared" si="45"/>
        <v>0</v>
      </c>
      <c r="S239" s="558">
        <f t="shared" si="45"/>
        <v>428637</v>
      </c>
      <c r="T239" s="559">
        <f t="shared" si="45"/>
        <v>227234</v>
      </c>
      <c r="U239" s="560">
        <f t="shared" si="45"/>
        <v>0</v>
      </c>
      <c r="V239" s="561">
        <f t="shared" si="45"/>
        <v>45094</v>
      </c>
      <c r="W239" s="559">
        <f t="shared" si="45"/>
        <v>0</v>
      </c>
      <c r="X239" s="562">
        <f t="shared" si="45"/>
        <v>0</v>
      </c>
      <c r="Y239" s="558">
        <f t="shared" si="45"/>
        <v>1140002</v>
      </c>
      <c r="Z239" s="559">
        <f t="shared" si="45"/>
        <v>1361505</v>
      </c>
      <c r="AA239" s="560">
        <f t="shared" si="45"/>
        <v>1053210</v>
      </c>
      <c r="AB239" s="561">
        <f t="shared" si="45"/>
        <v>0</v>
      </c>
      <c r="AC239" s="559">
        <f t="shared" si="45"/>
        <v>0</v>
      </c>
      <c r="AD239" s="562">
        <f t="shared" si="45"/>
        <v>0</v>
      </c>
      <c r="AE239" s="558">
        <f t="shared" si="45"/>
        <v>167580</v>
      </c>
      <c r="AF239" s="559">
        <f t="shared" si="45"/>
        <v>40000</v>
      </c>
      <c r="AG239" s="560">
        <f t="shared" si="45"/>
        <v>105000</v>
      </c>
      <c r="AH239" s="561">
        <f t="shared" si="45"/>
        <v>5554100</v>
      </c>
      <c r="AI239" s="559">
        <f t="shared" si="45"/>
        <v>561958</v>
      </c>
      <c r="AJ239" s="562">
        <f t="shared" si="45"/>
        <v>665576</v>
      </c>
      <c r="AK239" s="558">
        <f t="shared" si="45"/>
        <v>323387</v>
      </c>
      <c r="AL239" s="559">
        <f t="shared" si="45"/>
        <v>405000</v>
      </c>
      <c r="AM239" s="560">
        <f t="shared" ref="AM239:BW239" si="46">SUM(AM204:AM238)</f>
        <v>425000</v>
      </c>
      <c r="AN239" s="561">
        <f t="shared" si="46"/>
        <v>781859</v>
      </c>
      <c r="AO239" s="559">
        <f t="shared" si="46"/>
        <v>955000</v>
      </c>
      <c r="AP239" s="562">
        <f t="shared" si="46"/>
        <v>955000</v>
      </c>
      <c r="AQ239" s="558">
        <f t="shared" si="46"/>
        <v>713616</v>
      </c>
      <c r="AR239" s="559">
        <f t="shared" si="46"/>
        <v>871645</v>
      </c>
      <c r="AS239" s="560">
        <f t="shared" si="46"/>
        <v>871645</v>
      </c>
      <c r="AT239" s="561">
        <f t="shared" si="46"/>
        <v>0</v>
      </c>
      <c r="AU239" s="559">
        <f t="shared" si="46"/>
        <v>0</v>
      </c>
      <c r="AV239" s="562">
        <f t="shared" si="46"/>
        <v>0</v>
      </c>
      <c r="AW239" s="558">
        <f t="shared" si="46"/>
        <v>1066026</v>
      </c>
      <c r="AX239" s="559">
        <f t="shared" si="46"/>
        <v>542468</v>
      </c>
      <c r="AY239" s="560">
        <f t="shared" si="46"/>
        <v>374975</v>
      </c>
      <c r="AZ239" s="561">
        <f t="shared" si="46"/>
        <v>90057</v>
      </c>
      <c r="BA239" s="559">
        <f t="shared" si="46"/>
        <v>110000</v>
      </c>
      <c r="BB239" s="562">
        <f t="shared" si="46"/>
        <v>110000</v>
      </c>
      <c r="BC239" s="558">
        <f t="shared" si="46"/>
        <v>0</v>
      </c>
      <c r="BD239" s="559">
        <f t="shared" si="46"/>
        <v>0</v>
      </c>
      <c r="BE239" s="560">
        <f t="shared" si="46"/>
        <v>0</v>
      </c>
      <c r="BF239" s="561">
        <f t="shared" si="46"/>
        <v>399004</v>
      </c>
      <c r="BG239" s="559">
        <f t="shared" si="46"/>
        <v>550000</v>
      </c>
      <c r="BH239" s="562">
        <f t="shared" si="46"/>
        <v>550000</v>
      </c>
      <c r="BI239" s="558">
        <f t="shared" si="46"/>
        <v>284089</v>
      </c>
      <c r="BJ239" s="559">
        <f t="shared" si="46"/>
        <v>145500</v>
      </c>
      <c r="BK239" s="560">
        <f t="shared" si="46"/>
        <v>145500</v>
      </c>
      <c r="BL239" s="561">
        <f t="shared" si="46"/>
        <v>4682348</v>
      </c>
      <c r="BM239" s="559">
        <f t="shared" si="46"/>
        <v>2090000</v>
      </c>
      <c r="BN239" s="562">
        <f t="shared" si="46"/>
        <v>2090000</v>
      </c>
      <c r="BO239" s="558">
        <f t="shared" si="46"/>
        <v>2312574</v>
      </c>
      <c r="BP239" s="559">
        <f t="shared" si="46"/>
        <v>2861400</v>
      </c>
      <c r="BQ239" s="560">
        <f t="shared" si="46"/>
        <v>2886600</v>
      </c>
      <c r="BR239" s="561">
        <f t="shared" si="46"/>
        <v>17514642</v>
      </c>
      <c r="BS239" s="559">
        <f t="shared" si="46"/>
        <v>10494476</v>
      </c>
      <c r="BT239" s="562">
        <f t="shared" si="46"/>
        <v>10232506</v>
      </c>
      <c r="BU239" s="558">
        <f t="shared" si="46"/>
        <v>0</v>
      </c>
      <c r="BV239" s="559">
        <f t="shared" si="46"/>
        <v>0</v>
      </c>
      <c r="BW239" s="560">
        <f t="shared" si="46"/>
        <v>0</v>
      </c>
    </row>
    <row r="240" spans="1:76" ht="12.75" thickBot="1">
      <c r="A240" s="588" t="s">
        <v>49</v>
      </c>
      <c r="B240" s="589">
        <v>52</v>
      </c>
      <c r="C240" s="589" t="s">
        <v>32</v>
      </c>
      <c r="D240" s="590"/>
      <c r="E240" s="591" t="s">
        <v>736</v>
      </c>
      <c r="F240" s="592"/>
      <c r="G240" s="593">
        <f t="shared" ref="G240:BR240" si="47">G203+G239</f>
        <v>29118927</v>
      </c>
      <c r="H240" s="594">
        <f t="shared" si="47"/>
        <v>13690182</v>
      </c>
      <c r="I240" s="595">
        <f t="shared" si="47"/>
        <v>10317506</v>
      </c>
      <c r="J240" s="596">
        <f t="shared" si="47"/>
        <v>4041565</v>
      </c>
      <c r="K240" s="594">
        <f t="shared" si="47"/>
        <v>1134271</v>
      </c>
      <c r="L240" s="597">
        <f t="shared" si="47"/>
        <v>1053210</v>
      </c>
      <c r="M240" s="593">
        <f t="shared" si="47"/>
        <v>723077</v>
      </c>
      <c r="N240" s="594">
        <f t="shared" si="47"/>
        <v>590000</v>
      </c>
      <c r="O240" s="595">
        <f t="shared" si="47"/>
        <v>0</v>
      </c>
      <c r="P240" s="596">
        <f t="shared" si="47"/>
        <v>0</v>
      </c>
      <c r="Q240" s="594">
        <f t="shared" si="47"/>
        <v>0</v>
      </c>
      <c r="R240" s="597">
        <f t="shared" si="47"/>
        <v>0</v>
      </c>
      <c r="S240" s="593">
        <f t="shared" si="47"/>
        <v>428637</v>
      </c>
      <c r="T240" s="594">
        <f t="shared" si="47"/>
        <v>227234</v>
      </c>
      <c r="U240" s="595">
        <f t="shared" si="47"/>
        <v>0</v>
      </c>
      <c r="V240" s="596">
        <f t="shared" si="47"/>
        <v>365169</v>
      </c>
      <c r="W240" s="594">
        <f t="shared" si="47"/>
        <v>397945</v>
      </c>
      <c r="X240" s="597">
        <f t="shared" si="47"/>
        <v>0</v>
      </c>
      <c r="Y240" s="593">
        <f t="shared" si="47"/>
        <v>5558448</v>
      </c>
      <c r="Z240" s="594">
        <f t="shared" si="47"/>
        <v>2349450</v>
      </c>
      <c r="AA240" s="595">
        <f t="shared" si="47"/>
        <v>1053210</v>
      </c>
      <c r="AB240" s="596">
        <f t="shared" si="47"/>
        <v>0</v>
      </c>
      <c r="AC240" s="594">
        <f t="shared" si="47"/>
        <v>0</v>
      </c>
      <c r="AD240" s="597">
        <f t="shared" si="47"/>
        <v>0</v>
      </c>
      <c r="AE240" s="593">
        <f t="shared" si="47"/>
        <v>1333711</v>
      </c>
      <c r="AF240" s="594">
        <f t="shared" si="47"/>
        <v>1105785</v>
      </c>
      <c r="AG240" s="595">
        <f t="shared" si="47"/>
        <v>155000</v>
      </c>
      <c r="AH240" s="596">
        <f t="shared" si="47"/>
        <v>8121760</v>
      </c>
      <c r="AI240" s="594">
        <f t="shared" si="47"/>
        <v>1053958</v>
      </c>
      <c r="AJ240" s="597">
        <f t="shared" si="47"/>
        <v>700576</v>
      </c>
      <c r="AK240" s="593">
        <f t="shared" si="47"/>
        <v>323387</v>
      </c>
      <c r="AL240" s="594">
        <f t="shared" si="47"/>
        <v>405000</v>
      </c>
      <c r="AM240" s="595">
        <f t="shared" si="47"/>
        <v>425000</v>
      </c>
      <c r="AN240" s="596">
        <f t="shared" si="47"/>
        <v>1340874</v>
      </c>
      <c r="AO240" s="594">
        <f t="shared" si="47"/>
        <v>1121000</v>
      </c>
      <c r="AP240" s="597">
        <f t="shared" si="47"/>
        <v>955000</v>
      </c>
      <c r="AQ240" s="593">
        <f t="shared" si="47"/>
        <v>1218238</v>
      </c>
      <c r="AR240" s="594">
        <f t="shared" si="47"/>
        <v>871645</v>
      </c>
      <c r="AS240" s="595">
        <f t="shared" si="47"/>
        <v>871645</v>
      </c>
      <c r="AT240" s="596">
        <f t="shared" si="47"/>
        <v>7486</v>
      </c>
      <c r="AU240" s="594">
        <f t="shared" si="47"/>
        <v>0</v>
      </c>
      <c r="AV240" s="597">
        <f t="shared" si="47"/>
        <v>0</v>
      </c>
      <c r="AW240" s="593">
        <f t="shared" si="47"/>
        <v>1066026</v>
      </c>
      <c r="AX240" s="594">
        <f t="shared" si="47"/>
        <v>542468</v>
      </c>
      <c r="AY240" s="595">
        <f t="shared" si="47"/>
        <v>374975</v>
      </c>
      <c r="AZ240" s="596">
        <f t="shared" si="47"/>
        <v>90057</v>
      </c>
      <c r="BA240" s="594">
        <f t="shared" si="47"/>
        <v>110000</v>
      </c>
      <c r="BB240" s="597">
        <f t="shared" si="47"/>
        <v>110000</v>
      </c>
      <c r="BC240" s="593">
        <f t="shared" si="47"/>
        <v>0</v>
      </c>
      <c r="BD240" s="594">
        <f t="shared" si="47"/>
        <v>0</v>
      </c>
      <c r="BE240" s="595">
        <f t="shared" si="47"/>
        <v>0</v>
      </c>
      <c r="BF240" s="596">
        <f t="shared" si="47"/>
        <v>2045609</v>
      </c>
      <c r="BG240" s="594">
        <f t="shared" si="47"/>
        <v>550000</v>
      </c>
      <c r="BH240" s="597">
        <f t="shared" si="47"/>
        <v>550000</v>
      </c>
      <c r="BI240" s="593">
        <f t="shared" si="47"/>
        <v>493950</v>
      </c>
      <c r="BJ240" s="594">
        <f t="shared" si="47"/>
        <v>629476</v>
      </c>
      <c r="BK240" s="595">
        <f t="shared" si="47"/>
        <v>145500</v>
      </c>
      <c r="BL240" s="596">
        <f t="shared" si="47"/>
        <v>5206807</v>
      </c>
      <c r="BM240" s="594">
        <f t="shared" si="47"/>
        <v>2090000</v>
      </c>
      <c r="BN240" s="597">
        <f t="shared" si="47"/>
        <v>2090000</v>
      </c>
      <c r="BO240" s="593">
        <f t="shared" si="47"/>
        <v>2312574</v>
      </c>
      <c r="BP240" s="594">
        <f t="shared" si="47"/>
        <v>2861400</v>
      </c>
      <c r="BQ240" s="595">
        <f t="shared" si="47"/>
        <v>2886600</v>
      </c>
      <c r="BR240" s="596">
        <f t="shared" si="47"/>
        <v>29118927</v>
      </c>
      <c r="BS240" s="594">
        <f t="shared" ref="BS240:BW240" si="48">BS203+BS239</f>
        <v>13690182</v>
      </c>
      <c r="BT240" s="597">
        <f t="shared" si="48"/>
        <v>10317506</v>
      </c>
      <c r="BU240" s="593">
        <f t="shared" si="48"/>
        <v>0</v>
      </c>
      <c r="BV240" s="595">
        <f t="shared" si="48"/>
        <v>0</v>
      </c>
      <c r="BW240" s="643">
        <f t="shared" si="48"/>
        <v>0</v>
      </c>
    </row>
    <row r="241" spans="1:75">
      <c r="A241" s="470" t="s">
        <v>49</v>
      </c>
      <c r="B241" s="471">
        <v>61</v>
      </c>
      <c r="C241" s="471" t="s">
        <v>40</v>
      </c>
      <c r="D241" s="604">
        <v>3111</v>
      </c>
      <c r="E241" s="605" t="s">
        <v>50</v>
      </c>
      <c r="F241" s="474" t="s">
        <v>687</v>
      </c>
      <c r="G241" s="564">
        <f t="shared" ref="G241:I252" si="49">BR241+BU241</f>
        <v>137520</v>
      </c>
      <c r="H241" s="565">
        <f t="shared" si="49"/>
        <v>291540</v>
      </c>
      <c r="I241" s="566">
        <f t="shared" si="49"/>
        <v>0</v>
      </c>
      <c r="J241" s="567"/>
      <c r="K241" s="568"/>
      <c r="L241" s="569"/>
      <c r="M241" s="570"/>
      <c r="N241" s="568"/>
      <c r="O241" s="571"/>
      <c r="P241" s="567"/>
      <c r="Q241" s="568"/>
      <c r="R241" s="569"/>
      <c r="S241" s="570"/>
      <c r="T241" s="568"/>
      <c r="U241" s="571"/>
      <c r="V241" s="567"/>
      <c r="W241" s="568"/>
      <c r="X241" s="569"/>
      <c r="Y241" s="572">
        <f>J241+M241+P241+S241+V241</f>
        <v>0</v>
      </c>
      <c r="Z241" s="573">
        <f>K241+N241+Q241+T241+W241</f>
        <v>0</v>
      </c>
      <c r="AA241" s="574">
        <f>L241+O241+R241+U241+X241</f>
        <v>0</v>
      </c>
      <c r="AB241" s="610"/>
      <c r="AC241" s="611"/>
      <c r="AD241" s="612"/>
      <c r="AE241" s="613"/>
      <c r="AF241" s="611"/>
      <c r="AG241" s="614"/>
      <c r="AH241" s="610">
        <v>36355</v>
      </c>
      <c r="AI241" s="568">
        <v>56191</v>
      </c>
      <c r="AJ241" s="569"/>
      <c r="AK241" s="570"/>
      <c r="AL241" s="568"/>
      <c r="AM241" s="571"/>
      <c r="AN241" s="567"/>
      <c r="AO241" s="568"/>
      <c r="AP241" s="569"/>
      <c r="AQ241" s="570"/>
      <c r="AR241" s="568"/>
      <c r="AS241" s="571"/>
      <c r="AT241" s="567"/>
      <c r="AU241" s="568"/>
      <c r="AV241" s="569"/>
      <c r="AW241" s="570"/>
      <c r="AX241" s="568"/>
      <c r="AY241" s="571"/>
      <c r="AZ241" s="567"/>
      <c r="BA241" s="568"/>
      <c r="BB241" s="569"/>
      <c r="BC241" s="570"/>
      <c r="BD241" s="568"/>
      <c r="BE241" s="571"/>
      <c r="BF241" s="567"/>
      <c r="BG241" s="568"/>
      <c r="BH241" s="569"/>
      <c r="BI241" s="570"/>
      <c r="BJ241" s="568"/>
      <c r="BK241" s="571"/>
      <c r="BL241" s="610">
        <v>101165</v>
      </c>
      <c r="BM241" s="611">
        <v>235349</v>
      </c>
      <c r="BN241" s="612"/>
      <c r="BO241" s="570"/>
      <c r="BP241" s="568"/>
      <c r="BQ241" s="571"/>
      <c r="BR241" s="575">
        <f t="shared" ref="BR241:BT252" si="50">AB241+AE241+AH241+AK241+AN241+AQ241+AT241+AW241+AZ241+BC241+BF241+BI241+BL241+BO241+Y241</f>
        <v>137520</v>
      </c>
      <c r="BS241" s="576">
        <f t="shared" si="50"/>
        <v>291540</v>
      </c>
      <c r="BT241" s="577">
        <f t="shared" si="50"/>
        <v>0</v>
      </c>
      <c r="BU241" s="578"/>
      <c r="BV241" s="579"/>
      <c r="BW241" s="580"/>
    </row>
    <row r="242" spans="1:75">
      <c r="A242" s="470" t="s">
        <v>49</v>
      </c>
      <c r="B242" s="471">
        <v>61</v>
      </c>
      <c r="C242" s="471" t="s">
        <v>40</v>
      </c>
      <c r="D242" s="604">
        <v>3121</v>
      </c>
      <c r="E242" s="605"/>
      <c r="F242" s="474" t="s">
        <v>687</v>
      </c>
      <c r="G242" s="564">
        <f t="shared" si="49"/>
        <v>2588</v>
      </c>
      <c r="H242" s="565">
        <f t="shared" si="49"/>
        <v>0</v>
      </c>
      <c r="I242" s="566">
        <f t="shared" si="49"/>
        <v>0</v>
      </c>
      <c r="J242" s="567"/>
      <c r="K242" s="568"/>
      <c r="L242" s="569"/>
      <c r="M242" s="570"/>
      <c r="N242" s="568"/>
      <c r="O242" s="571"/>
      <c r="P242" s="567"/>
      <c r="Q242" s="568"/>
      <c r="R242" s="569"/>
      <c r="S242" s="570"/>
      <c r="T242" s="568"/>
      <c r="U242" s="571"/>
      <c r="V242" s="567"/>
      <c r="W242" s="568"/>
      <c r="X242" s="569"/>
      <c r="Y242" s="572"/>
      <c r="Z242" s="573"/>
      <c r="AA242" s="574"/>
      <c r="AB242" s="610"/>
      <c r="AC242" s="611"/>
      <c r="AD242" s="612"/>
      <c r="AE242" s="613"/>
      <c r="AF242" s="611"/>
      <c r="AG242" s="614"/>
      <c r="AH242" s="610"/>
      <c r="AI242" s="568"/>
      <c r="AJ242" s="569"/>
      <c r="AK242" s="570"/>
      <c r="AL242" s="568"/>
      <c r="AM242" s="571"/>
      <c r="AN242" s="567"/>
      <c r="AO242" s="568"/>
      <c r="AP242" s="569"/>
      <c r="AQ242" s="570"/>
      <c r="AR242" s="568"/>
      <c r="AS242" s="571"/>
      <c r="AT242" s="567"/>
      <c r="AU242" s="568"/>
      <c r="AV242" s="569"/>
      <c r="AW242" s="570"/>
      <c r="AX242" s="568"/>
      <c r="AY242" s="571"/>
      <c r="AZ242" s="567"/>
      <c r="BA242" s="568"/>
      <c r="BB242" s="569"/>
      <c r="BC242" s="570"/>
      <c r="BD242" s="568"/>
      <c r="BE242" s="571"/>
      <c r="BF242" s="567"/>
      <c r="BG242" s="568"/>
      <c r="BH242" s="569"/>
      <c r="BI242" s="570"/>
      <c r="BJ242" s="568"/>
      <c r="BK242" s="571"/>
      <c r="BL242" s="610">
        <v>2588</v>
      </c>
      <c r="BM242" s="611"/>
      <c r="BN242" s="612"/>
      <c r="BO242" s="570"/>
      <c r="BP242" s="568"/>
      <c r="BQ242" s="571"/>
      <c r="BR242" s="575">
        <f t="shared" si="50"/>
        <v>2588</v>
      </c>
      <c r="BS242" s="576">
        <f t="shared" si="50"/>
        <v>0</v>
      </c>
      <c r="BT242" s="577">
        <f t="shared" si="50"/>
        <v>0</v>
      </c>
      <c r="BU242" s="578"/>
      <c r="BV242" s="579"/>
      <c r="BW242" s="580"/>
    </row>
    <row r="243" spans="1:75" ht="36">
      <c r="A243" s="470" t="s">
        <v>49</v>
      </c>
      <c r="B243" s="471">
        <v>61</v>
      </c>
      <c r="C243" s="471" t="s">
        <v>40</v>
      </c>
      <c r="D243" s="608">
        <v>3132</v>
      </c>
      <c r="E243" s="609" t="s">
        <v>814</v>
      </c>
      <c r="F243" s="474" t="s">
        <v>687</v>
      </c>
      <c r="G243" s="497">
        <f t="shared" si="49"/>
        <v>22691</v>
      </c>
      <c r="H243" s="498">
        <f t="shared" si="49"/>
        <v>48105</v>
      </c>
      <c r="I243" s="499">
        <f t="shared" si="49"/>
        <v>0</v>
      </c>
      <c r="J243" s="500"/>
      <c r="K243" s="501"/>
      <c r="L243" s="502"/>
      <c r="M243" s="503"/>
      <c r="N243" s="501"/>
      <c r="O243" s="504"/>
      <c r="P243" s="500"/>
      <c r="Q243" s="501"/>
      <c r="R243" s="502"/>
      <c r="S243" s="503"/>
      <c r="T243" s="501"/>
      <c r="U243" s="504"/>
      <c r="V243" s="500"/>
      <c r="W243" s="501"/>
      <c r="X243" s="502"/>
      <c r="Y243" s="505">
        <f t="shared" ref="Y243:AA244" si="51">J243+M243+P243+S243+V243</f>
        <v>0</v>
      </c>
      <c r="Z243" s="506">
        <f t="shared" si="51"/>
        <v>0</v>
      </c>
      <c r="AA243" s="507">
        <f t="shared" si="51"/>
        <v>0</v>
      </c>
      <c r="AB243" s="615"/>
      <c r="AC243" s="616"/>
      <c r="AD243" s="617"/>
      <c r="AE243" s="618"/>
      <c r="AF243" s="616"/>
      <c r="AG243" s="619"/>
      <c r="AH243" s="615">
        <v>5999</v>
      </c>
      <c r="AI243" s="501">
        <v>9272</v>
      </c>
      <c r="AJ243" s="502"/>
      <c r="AK243" s="503"/>
      <c r="AL243" s="501"/>
      <c r="AM243" s="504"/>
      <c r="AN243" s="500"/>
      <c r="AO243" s="501"/>
      <c r="AP243" s="502"/>
      <c r="AQ243" s="503"/>
      <c r="AR243" s="501"/>
      <c r="AS243" s="504"/>
      <c r="AT243" s="500"/>
      <c r="AU243" s="501"/>
      <c r="AV243" s="502"/>
      <c r="AW243" s="503"/>
      <c r="AX243" s="501"/>
      <c r="AY243" s="504"/>
      <c r="AZ243" s="500"/>
      <c r="BA243" s="501"/>
      <c r="BB243" s="502"/>
      <c r="BC243" s="503"/>
      <c r="BD243" s="501"/>
      <c r="BE243" s="504"/>
      <c r="BF243" s="500"/>
      <c r="BG243" s="501"/>
      <c r="BH243" s="502"/>
      <c r="BI243" s="503"/>
      <c r="BJ243" s="501"/>
      <c r="BK243" s="504"/>
      <c r="BL243" s="615">
        <v>16692</v>
      </c>
      <c r="BM243" s="616">
        <v>38833</v>
      </c>
      <c r="BN243" s="617"/>
      <c r="BO243" s="503"/>
      <c r="BP243" s="501"/>
      <c r="BQ243" s="504"/>
      <c r="BR243" s="513">
        <f t="shared" si="50"/>
        <v>22691</v>
      </c>
      <c r="BS243" s="514">
        <f t="shared" si="50"/>
        <v>48105</v>
      </c>
      <c r="BT243" s="515">
        <f t="shared" si="50"/>
        <v>0</v>
      </c>
      <c r="BU243" s="516"/>
      <c r="BV243" s="517"/>
      <c r="BW243" s="518"/>
    </row>
    <row r="244" spans="1:75" ht="24">
      <c r="A244" s="470" t="s">
        <v>49</v>
      </c>
      <c r="B244" s="471">
        <v>61</v>
      </c>
      <c r="C244" s="471" t="s">
        <v>40</v>
      </c>
      <c r="D244" s="606">
        <v>3211</v>
      </c>
      <c r="E244" s="607" t="s">
        <v>815</v>
      </c>
      <c r="F244" s="474" t="s">
        <v>687</v>
      </c>
      <c r="G244" s="497">
        <f t="shared" si="49"/>
        <v>56071</v>
      </c>
      <c r="H244" s="498">
        <f t="shared" si="49"/>
        <v>30000</v>
      </c>
      <c r="I244" s="499">
        <f t="shared" si="49"/>
        <v>0</v>
      </c>
      <c r="J244" s="500"/>
      <c r="K244" s="501"/>
      <c r="L244" s="502"/>
      <c r="M244" s="503"/>
      <c r="N244" s="501"/>
      <c r="O244" s="504"/>
      <c r="P244" s="500"/>
      <c r="Q244" s="501"/>
      <c r="R244" s="502"/>
      <c r="S244" s="503"/>
      <c r="T244" s="501"/>
      <c r="U244" s="504"/>
      <c r="V244" s="500"/>
      <c r="W244" s="501"/>
      <c r="X244" s="502"/>
      <c r="Y244" s="505">
        <f t="shared" si="51"/>
        <v>0</v>
      </c>
      <c r="Z244" s="506">
        <f t="shared" si="51"/>
        <v>0</v>
      </c>
      <c r="AA244" s="507">
        <f t="shared" si="51"/>
        <v>0</v>
      </c>
      <c r="AB244" s="615"/>
      <c r="AC244" s="616"/>
      <c r="AD244" s="617"/>
      <c r="AE244" s="618"/>
      <c r="AF244" s="616"/>
      <c r="AG244" s="619"/>
      <c r="AH244" s="615"/>
      <c r="AI244" s="501">
        <v>30000</v>
      </c>
      <c r="AJ244" s="502"/>
      <c r="AK244" s="503"/>
      <c r="AL244" s="501"/>
      <c r="AM244" s="504"/>
      <c r="AN244" s="500"/>
      <c r="AO244" s="501"/>
      <c r="AP244" s="502"/>
      <c r="AQ244" s="503"/>
      <c r="AR244" s="501"/>
      <c r="AS244" s="504"/>
      <c r="AT244" s="500"/>
      <c r="AU244" s="501"/>
      <c r="AV244" s="502"/>
      <c r="AW244" s="503"/>
      <c r="AX244" s="501"/>
      <c r="AY244" s="504"/>
      <c r="AZ244" s="500"/>
      <c r="BA244" s="501"/>
      <c r="BB244" s="502"/>
      <c r="BC244" s="503"/>
      <c r="BD244" s="501"/>
      <c r="BE244" s="504"/>
      <c r="BF244" s="500"/>
      <c r="BG244" s="501"/>
      <c r="BH244" s="502"/>
      <c r="BI244" s="503"/>
      <c r="BJ244" s="501"/>
      <c r="BK244" s="504"/>
      <c r="BL244" s="615">
        <v>56071</v>
      </c>
      <c r="BM244" s="616">
        <v>0</v>
      </c>
      <c r="BN244" s="617"/>
      <c r="BO244" s="503"/>
      <c r="BP244" s="501"/>
      <c r="BQ244" s="504"/>
      <c r="BR244" s="513">
        <f t="shared" si="50"/>
        <v>56071</v>
      </c>
      <c r="BS244" s="514">
        <f t="shared" si="50"/>
        <v>30000</v>
      </c>
      <c r="BT244" s="515">
        <f t="shared" si="50"/>
        <v>0</v>
      </c>
      <c r="BU244" s="516"/>
      <c r="BV244" s="517"/>
      <c r="BW244" s="518"/>
    </row>
    <row r="245" spans="1:75" ht="36">
      <c r="A245" s="470" t="s">
        <v>49</v>
      </c>
      <c r="B245" s="471">
        <v>61</v>
      </c>
      <c r="C245" s="471" t="s">
        <v>40</v>
      </c>
      <c r="D245" s="604">
        <v>3212</v>
      </c>
      <c r="E245" s="522" t="s">
        <v>754</v>
      </c>
      <c r="F245" s="474" t="s">
        <v>687</v>
      </c>
      <c r="G245" s="497">
        <f t="shared" si="49"/>
        <v>2175</v>
      </c>
      <c r="H245" s="498">
        <f t="shared" si="49"/>
        <v>5042</v>
      </c>
      <c r="I245" s="499">
        <f t="shared" si="49"/>
        <v>0</v>
      </c>
      <c r="J245" s="500"/>
      <c r="K245" s="501"/>
      <c r="L245" s="502"/>
      <c r="M245" s="503"/>
      <c r="N245" s="501"/>
      <c r="O245" s="504"/>
      <c r="P245" s="500"/>
      <c r="Q245" s="501"/>
      <c r="R245" s="502"/>
      <c r="S245" s="503"/>
      <c r="T245" s="501"/>
      <c r="U245" s="504"/>
      <c r="V245" s="500"/>
      <c r="W245" s="501"/>
      <c r="X245" s="502"/>
      <c r="Y245" s="505"/>
      <c r="Z245" s="506"/>
      <c r="AA245" s="507"/>
      <c r="AB245" s="615"/>
      <c r="AC245" s="616"/>
      <c r="AD245" s="617"/>
      <c r="AE245" s="618"/>
      <c r="AF245" s="616"/>
      <c r="AG245" s="619"/>
      <c r="AH245" s="615"/>
      <c r="AI245" s="501"/>
      <c r="AJ245" s="502"/>
      <c r="AK245" s="503"/>
      <c r="AL245" s="501"/>
      <c r="AM245" s="504"/>
      <c r="AN245" s="500"/>
      <c r="AO245" s="501"/>
      <c r="AP245" s="502"/>
      <c r="AQ245" s="503"/>
      <c r="AR245" s="501"/>
      <c r="AS245" s="504"/>
      <c r="AT245" s="500"/>
      <c r="AU245" s="501"/>
      <c r="AV245" s="502"/>
      <c r="AW245" s="503"/>
      <c r="AX245" s="501"/>
      <c r="AY245" s="504"/>
      <c r="AZ245" s="500"/>
      <c r="BA245" s="501"/>
      <c r="BB245" s="502"/>
      <c r="BC245" s="503"/>
      <c r="BD245" s="501"/>
      <c r="BE245" s="504"/>
      <c r="BF245" s="500"/>
      <c r="BG245" s="501"/>
      <c r="BH245" s="502"/>
      <c r="BI245" s="503"/>
      <c r="BJ245" s="501"/>
      <c r="BK245" s="504"/>
      <c r="BL245" s="615">
        <v>2175</v>
      </c>
      <c r="BM245" s="616">
        <v>5042</v>
      </c>
      <c r="BN245" s="617"/>
      <c r="BO245" s="503"/>
      <c r="BP245" s="501"/>
      <c r="BQ245" s="504"/>
      <c r="BR245" s="513">
        <f t="shared" si="50"/>
        <v>2175</v>
      </c>
      <c r="BS245" s="514">
        <f t="shared" si="50"/>
        <v>5042</v>
      </c>
      <c r="BT245" s="515">
        <f t="shared" si="50"/>
        <v>0</v>
      </c>
      <c r="BU245" s="516"/>
      <c r="BV245" s="517"/>
      <c r="BW245" s="518"/>
    </row>
    <row r="246" spans="1:75">
      <c r="A246" s="470" t="s">
        <v>49</v>
      </c>
      <c r="B246" s="471">
        <v>61</v>
      </c>
      <c r="C246" s="471" t="s">
        <v>40</v>
      </c>
      <c r="D246" s="604">
        <v>3213</v>
      </c>
      <c r="E246" s="605"/>
      <c r="F246" s="474" t="s">
        <v>687</v>
      </c>
      <c r="G246" s="497">
        <f t="shared" si="49"/>
        <v>11646</v>
      </c>
      <c r="H246" s="498">
        <f t="shared" si="49"/>
        <v>0</v>
      </c>
      <c r="I246" s="499">
        <f t="shared" si="49"/>
        <v>0</v>
      </c>
      <c r="J246" s="500"/>
      <c r="K246" s="501"/>
      <c r="L246" s="502"/>
      <c r="M246" s="503"/>
      <c r="N246" s="501"/>
      <c r="O246" s="504"/>
      <c r="P246" s="500"/>
      <c r="Q246" s="501"/>
      <c r="R246" s="502"/>
      <c r="S246" s="503"/>
      <c r="T246" s="501"/>
      <c r="U246" s="504"/>
      <c r="V246" s="500"/>
      <c r="W246" s="501"/>
      <c r="X246" s="502"/>
      <c r="Y246" s="505"/>
      <c r="Z246" s="506"/>
      <c r="AA246" s="507"/>
      <c r="AB246" s="615"/>
      <c r="AC246" s="616"/>
      <c r="AD246" s="617"/>
      <c r="AE246" s="618"/>
      <c r="AF246" s="616"/>
      <c r="AG246" s="619"/>
      <c r="AH246" s="615"/>
      <c r="AI246" s="501"/>
      <c r="AJ246" s="502"/>
      <c r="AK246" s="503"/>
      <c r="AL246" s="501"/>
      <c r="AM246" s="504"/>
      <c r="AN246" s="500"/>
      <c r="AO246" s="501"/>
      <c r="AP246" s="502"/>
      <c r="AQ246" s="503"/>
      <c r="AR246" s="501"/>
      <c r="AS246" s="504"/>
      <c r="AT246" s="500"/>
      <c r="AU246" s="501"/>
      <c r="AV246" s="502"/>
      <c r="AW246" s="503"/>
      <c r="AX246" s="501"/>
      <c r="AY246" s="504"/>
      <c r="AZ246" s="500"/>
      <c r="BA246" s="501"/>
      <c r="BB246" s="502"/>
      <c r="BC246" s="503"/>
      <c r="BD246" s="501"/>
      <c r="BE246" s="504"/>
      <c r="BF246" s="500"/>
      <c r="BG246" s="501"/>
      <c r="BH246" s="502"/>
      <c r="BI246" s="503"/>
      <c r="BJ246" s="501"/>
      <c r="BK246" s="504"/>
      <c r="BL246" s="615">
        <v>11646</v>
      </c>
      <c r="BM246" s="616"/>
      <c r="BN246" s="617"/>
      <c r="BO246" s="503"/>
      <c r="BP246" s="501"/>
      <c r="BQ246" s="504"/>
      <c r="BR246" s="513">
        <f t="shared" si="50"/>
        <v>11646</v>
      </c>
      <c r="BS246" s="514">
        <f t="shared" si="50"/>
        <v>0</v>
      </c>
      <c r="BT246" s="515">
        <f t="shared" si="50"/>
        <v>0</v>
      </c>
      <c r="BU246" s="516"/>
      <c r="BV246" s="517"/>
      <c r="BW246" s="518"/>
    </row>
    <row r="247" spans="1:75" ht="36">
      <c r="A247" s="470" t="s">
        <v>49</v>
      </c>
      <c r="B247" s="471">
        <v>61</v>
      </c>
      <c r="C247" s="471" t="s">
        <v>40</v>
      </c>
      <c r="D247" s="606">
        <v>3221</v>
      </c>
      <c r="E247" s="607" t="s">
        <v>816</v>
      </c>
      <c r="F247" s="474" t="s">
        <v>687</v>
      </c>
      <c r="G247" s="497">
        <f t="shared" si="49"/>
        <v>9489</v>
      </c>
      <c r="H247" s="498">
        <f t="shared" si="49"/>
        <v>22000</v>
      </c>
      <c r="I247" s="499">
        <f t="shared" si="49"/>
        <v>0</v>
      </c>
      <c r="J247" s="500"/>
      <c r="K247" s="501"/>
      <c r="L247" s="502"/>
      <c r="M247" s="503"/>
      <c r="N247" s="501"/>
      <c r="O247" s="504"/>
      <c r="P247" s="500"/>
      <c r="Q247" s="501"/>
      <c r="R247" s="502"/>
      <c r="S247" s="503"/>
      <c r="T247" s="501"/>
      <c r="U247" s="504"/>
      <c r="V247" s="500"/>
      <c r="W247" s="501"/>
      <c r="X247" s="502"/>
      <c r="Y247" s="505">
        <f t="shared" ref="Y247:AA248" si="52">J247+M247+P247+S247+V247</f>
        <v>0</v>
      </c>
      <c r="Z247" s="506">
        <f t="shared" si="52"/>
        <v>0</v>
      </c>
      <c r="AA247" s="507">
        <f t="shared" si="52"/>
        <v>0</v>
      </c>
      <c r="AB247" s="615"/>
      <c r="AC247" s="616"/>
      <c r="AD247" s="617"/>
      <c r="AE247" s="618"/>
      <c r="AF247" s="616"/>
      <c r="AG247" s="619"/>
      <c r="AH247" s="615">
        <v>9489</v>
      </c>
      <c r="AI247" s="501">
        <v>22000</v>
      </c>
      <c r="AJ247" s="502"/>
      <c r="AK247" s="503"/>
      <c r="AL247" s="501"/>
      <c r="AM247" s="504"/>
      <c r="AN247" s="500"/>
      <c r="AO247" s="501"/>
      <c r="AP247" s="502"/>
      <c r="AQ247" s="503"/>
      <c r="AR247" s="501"/>
      <c r="AS247" s="504"/>
      <c r="AT247" s="500"/>
      <c r="AU247" s="501"/>
      <c r="AV247" s="502"/>
      <c r="AW247" s="503"/>
      <c r="AX247" s="501"/>
      <c r="AY247" s="504"/>
      <c r="AZ247" s="500"/>
      <c r="BA247" s="501"/>
      <c r="BB247" s="502"/>
      <c r="BC247" s="503"/>
      <c r="BD247" s="501"/>
      <c r="BE247" s="504"/>
      <c r="BF247" s="500"/>
      <c r="BG247" s="501"/>
      <c r="BH247" s="502"/>
      <c r="BI247" s="503"/>
      <c r="BJ247" s="501"/>
      <c r="BK247" s="504"/>
      <c r="BL247" s="615">
        <v>0</v>
      </c>
      <c r="BM247" s="616">
        <v>0</v>
      </c>
      <c r="BN247" s="617"/>
      <c r="BO247" s="503"/>
      <c r="BP247" s="501"/>
      <c r="BQ247" s="504"/>
      <c r="BR247" s="513">
        <f t="shared" si="50"/>
        <v>9489</v>
      </c>
      <c r="BS247" s="514">
        <f t="shared" si="50"/>
        <v>22000</v>
      </c>
      <c r="BT247" s="515">
        <f t="shared" si="50"/>
        <v>0</v>
      </c>
      <c r="BU247" s="516"/>
      <c r="BV247" s="517"/>
      <c r="BW247" s="518"/>
    </row>
    <row r="248" spans="1:75">
      <c r="A248" s="470" t="s">
        <v>49</v>
      </c>
      <c r="B248" s="471">
        <v>61</v>
      </c>
      <c r="C248" s="471" t="s">
        <v>40</v>
      </c>
      <c r="D248" s="606">
        <v>3222</v>
      </c>
      <c r="E248" s="607" t="s">
        <v>76</v>
      </c>
      <c r="F248" s="474" t="s">
        <v>687</v>
      </c>
      <c r="G248" s="497">
        <f t="shared" si="49"/>
        <v>28898</v>
      </c>
      <c r="H248" s="498">
        <f t="shared" si="49"/>
        <v>10000</v>
      </c>
      <c r="I248" s="499">
        <f t="shared" si="49"/>
        <v>0</v>
      </c>
      <c r="J248" s="500"/>
      <c r="K248" s="501"/>
      <c r="L248" s="502"/>
      <c r="M248" s="503"/>
      <c r="N248" s="501"/>
      <c r="O248" s="504"/>
      <c r="P248" s="500"/>
      <c r="Q248" s="501"/>
      <c r="R248" s="502"/>
      <c r="S248" s="503"/>
      <c r="T248" s="501"/>
      <c r="U248" s="504"/>
      <c r="V248" s="500"/>
      <c r="W248" s="501"/>
      <c r="X248" s="502"/>
      <c r="Y248" s="505">
        <f t="shared" si="52"/>
        <v>0</v>
      </c>
      <c r="Z248" s="506">
        <f t="shared" si="52"/>
        <v>0</v>
      </c>
      <c r="AA248" s="507">
        <f t="shared" si="52"/>
        <v>0</v>
      </c>
      <c r="AB248" s="615"/>
      <c r="AC248" s="616"/>
      <c r="AD248" s="617"/>
      <c r="AE248" s="618"/>
      <c r="AF248" s="616"/>
      <c r="AG248" s="619"/>
      <c r="AH248" s="615">
        <v>4313</v>
      </c>
      <c r="AI248" s="501">
        <v>10000</v>
      </c>
      <c r="AJ248" s="502"/>
      <c r="AK248" s="503"/>
      <c r="AL248" s="501"/>
      <c r="AM248" s="504"/>
      <c r="AN248" s="500"/>
      <c r="AO248" s="501"/>
      <c r="AP248" s="502"/>
      <c r="AQ248" s="503"/>
      <c r="AR248" s="501"/>
      <c r="AS248" s="504"/>
      <c r="AT248" s="500"/>
      <c r="AU248" s="501"/>
      <c r="AV248" s="502"/>
      <c r="AW248" s="503"/>
      <c r="AX248" s="501"/>
      <c r="AY248" s="504"/>
      <c r="AZ248" s="500"/>
      <c r="BA248" s="501"/>
      <c r="BB248" s="502"/>
      <c r="BC248" s="503"/>
      <c r="BD248" s="501"/>
      <c r="BE248" s="504"/>
      <c r="BF248" s="500"/>
      <c r="BG248" s="501"/>
      <c r="BH248" s="502"/>
      <c r="BI248" s="503"/>
      <c r="BJ248" s="501"/>
      <c r="BK248" s="504"/>
      <c r="BL248" s="615">
        <v>24585</v>
      </c>
      <c r="BM248" s="616"/>
      <c r="BN248" s="617"/>
      <c r="BO248" s="503"/>
      <c r="BP248" s="501"/>
      <c r="BQ248" s="504"/>
      <c r="BR248" s="513">
        <f t="shared" si="50"/>
        <v>28898</v>
      </c>
      <c r="BS248" s="514">
        <f t="shared" si="50"/>
        <v>10000</v>
      </c>
      <c r="BT248" s="515">
        <f t="shared" si="50"/>
        <v>0</v>
      </c>
      <c r="BU248" s="516"/>
      <c r="BV248" s="517"/>
      <c r="BW248" s="518"/>
    </row>
    <row r="249" spans="1:75">
      <c r="A249" s="470" t="s">
        <v>49</v>
      </c>
      <c r="B249" s="471">
        <v>61</v>
      </c>
      <c r="C249" s="471" t="s">
        <v>40</v>
      </c>
      <c r="D249" s="604">
        <v>3232</v>
      </c>
      <c r="E249" s="605"/>
      <c r="F249" s="474" t="s">
        <v>687</v>
      </c>
      <c r="G249" s="497">
        <f t="shared" si="49"/>
        <v>9489</v>
      </c>
      <c r="H249" s="498">
        <f t="shared" si="49"/>
        <v>20000</v>
      </c>
      <c r="I249" s="499"/>
      <c r="J249" s="500"/>
      <c r="K249" s="501"/>
      <c r="L249" s="502"/>
      <c r="M249" s="503"/>
      <c r="N249" s="501"/>
      <c r="O249" s="504"/>
      <c r="P249" s="500"/>
      <c r="Q249" s="501"/>
      <c r="R249" s="502"/>
      <c r="S249" s="503"/>
      <c r="T249" s="501"/>
      <c r="U249" s="504"/>
      <c r="V249" s="500"/>
      <c r="W249" s="501"/>
      <c r="X249" s="502"/>
      <c r="Y249" s="505"/>
      <c r="Z249" s="506"/>
      <c r="AA249" s="507"/>
      <c r="AB249" s="615"/>
      <c r="AC249" s="616"/>
      <c r="AD249" s="617"/>
      <c r="AE249" s="618"/>
      <c r="AF249" s="616"/>
      <c r="AG249" s="619"/>
      <c r="AH249" s="615"/>
      <c r="AI249" s="501"/>
      <c r="AJ249" s="502"/>
      <c r="AK249" s="503"/>
      <c r="AL249" s="501"/>
      <c r="AM249" s="504"/>
      <c r="AN249" s="500"/>
      <c r="AO249" s="501"/>
      <c r="AP249" s="502"/>
      <c r="AQ249" s="503"/>
      <c r="AR249" s="501"/>
      <c r="AS249" s="504"/>
      <c r="AT249" s="500"/>
      <c r="AU249" s="501"/>
      <c r="AV249" s="502"/>
      <c r="AW249" s="503"/>
      <c r="AX249" s="501"/>
      <c r="AY249" s="504"/>
      <c r="AZ249" s="500"/>
      <c r="BA249" s="501"/>
      <c r="BB249" s="502"/>
      <c r="BC249" s="503"/>
      <c r="BD249" s="501"/>
      <c r="BE249" s="504"/>
      <c r="BF249" s="500"/>
      <c r="BG249" s="501"/>
      <c r="BH249" s="502"/>
      <c r="BI249" s="503"/>
      <c r="BJ249" s="501"/>
      <c r="BK249" s="504"/>
      <c r="BL249" s="615">
        <v>9489</v>
      </c>
      <c r="BM249" s="616">
        <v>20000</v>
      </c>
      <c r="BN249" s="617"/>
      <c r="BO249" s="503"/>
      <c r="BP249" s="501"/>
      <c r="BQ249" s="504"/>
      <c r="BR249" s="513">
        <f t="shared" si="50"/>
        <v>9489</v>
      </c>
      <c r="BS249" s="514">
        <f t="shared" si="50"/>
        <v>20000</v>
      </c>
      <c r="BT249" s="515">
        <f t="shared" si="50"/>
        <v>0</v>
      </c>
      <c r="BU249" s="516"/>
      <c r="BV249" s="517"/>
      <c r="BW249" s="518"/>
    </row>
    <row r="250" spans="1:75">
      <c r="A250" s="470" t="s">
        <v>49</v>
      </c>
      <c r="B250" s="471">
        <v>61</v>
      </c>
      <c r="C250" s="471" t="s">
        <v>40</v>
      </c>
      <c r="D250" s="604">
        <v>3233</v>
      </c>
      <c r="E250" s="605"/>
      <c r="F250" s="474" t="s">
        <v>687</v>
      </c>
      <c r="G250" s="497">
        <f t="shared" si="49"/>
        <v>3451</v>
      </c>
      <c r="H250" s="498">
        <f t="shared" si="49"/>
        <v>8000</v>
      </c>
      <c r="I250" s="499"/>
      <c r="J250" s="500"/>
      <c r="K250" s="501"/>
      <c r="L250" s="502"/>
      <c r="M250" s="503"/>
      <c r="N250" s="501"/>
      <c r="O250" s="504"/>
      <c r="P250" s="500"/>
      <c r="Q250" s="501"/>
      <c r="R250" s="502"/>
      <c r="S250" s="503"/>
      <c r="T250" s="501"/>
      <c r="U250" s="504"/>
      <c r="V250" s="500"/>
      <c r="W250" s="501"/>
      <c r="X250" s="502"/>
      <c r="Y250" s="505"/>
      <c r="Z250" s="506"/>
      <c r="AA250" s="507"/>
      <c r="AB250" s="615"/>
      <c r="AC250" s="616"/>
      <c r="AD250" s="617"/>
      <c r="AE250" s="618"/>
      <c r="AF250" s="616"/>
      <c r="AG250" s="619"/>
      <c r="AH250" s="615"/>
      <c r="AI250" s="501"/>
      <c r="AJ250" s="502"/>
      <c r="AK250" s="503"/>
      <c r="AL250" s="501"/>
      <c r="AM250" s="504"/>
      <c r="AN250" s="500"/>
      <c r="AO250" s="501"/>
      <c r="AP250" s="502"/>
      <c r="AQ250" s="503"/>
      <c r="AR250" s="501"/>
      <c r="AS250" s="504"/>
      <c r="AT250" s="500"/>
      <c r="AU250" s="501"/>
      <c r="AV250" s="502"/>
      <c r="AW250" s="503"/>
      <c r="AX250" s="501"/>
      <c r="AY250" s="504"/>
      <c r="AZ250" s="500"/>
      <c r="BA250" s="501"/>
      <c r="BB250" s="502"/>
      <c r="BC250" s="503"/>
      <c r="BD250" s="501"/>
      <c r="BE250" s="504"/>
      <c r="BF250" s="500"/>
      <c r="BG250" s="501"/>
      <c r="BH250" s="502"/>
      <c r="BI250" s="503"/>
      <c r="BJ250" s="501"/>
      <c r="BK250" s="504"/>
      <c r="BL250" s="615">
        <v>3451</v>
      </c>
      <c r="BM250" s="616">
        <v>8000</v>
      </c>
      <c r="BN250" s="617"/>
      <c r="BO250" s="503"/>
      <c r="BP250" s="501"/>
      <c r="BQ250" s="504"/>
      <c r="BR250" s="513">
        <f t="shared" si="50"/>
        <v>3451</v>
      </c>
      <c r="BS250" s="514">
        <f t="shared" si="50"/>
        <v>8000</v>
      </c>
      <c r="BT250" s="515">
        <f t="shared" si="50"/>
        <v>0</v>
      </c>
      <c r="BU250" s="516"/>
      <c r="BV250" s="517"/>
      <c r="BW250" s="518"/>
    </row>
    <row r="251" spans="1:75">
      <c r="A251" s="470" t="s">
        <v>49</v>
      </c>
      <c r="B251" s="471">
        <v>61</v>
      </c>
      <c r="C251" s="471" t="s">
        <v>40</v>
      </c>
      <c r="D251" s="606">
        <v>3239</v>
      </c>
      <c r="E251" s="607" t="s">
        <v>817</v>
      </c>
      <c r="F251" s="474" t="s">
        <v>687</v>
      </c>
      <c r="G251" s="497">
        <f t="shared" si="49"/>
        <v>21566</v>
      </c>
      <c r="H251" s="498">
        <f t="shared" si="49"/>
        <v>50000</v>
      </c>
      <c r="I251" s="499">
        <f>BT251+BW251</f>
        <v>0</v>
      </c>
      <c r="J251" s="500"/>
      <c r="K251" s="501"/>
      <c r="L251" s="502"/>
      <c r="M251" s="503"/>
      <c r="N251" s="501"/>
      <c r="O251" s="504"/>
      <c r="P251" s="500"/>
      <c r="Q251" s="501"/>
      <c r="R251" s="502"/>
      <c r="S251" s="503"/>
      <c r="T251" s="501"/>
      <c r="U251" s="504"/>
      <c r="V251" s="500"/>
      <c r="W251" s="501"/>
      <c r="X251" s="502"/>
      <c r="Y251" s="505">
        <f t="shared" ref="Y251:AA252" si="53">J251+M251+P251+S251+V251</f>
        <v>0</v>
      </c>
      <c r="Z251" s="506">
        <f t="shared" si="53"/>
        <v>0</v>
      </c>
      <c r="AA251" s="507">
        <f t="shared" si="53"/>
        <v>0</v>
      </c>
      <c r="AB251" s="615"/>
      <c r="AC251" s="616"/>
      <c r="AD251" s="617"/>
      <c r="AE251" s="618"/>
      <c r="AF251" s="616"/>
      <c r="AG251" s="619"/>
      <c r="AH251" s="615">
        <v>21566</v>
      </c>
      <c r="AI251" s="501">
        <v>50000</v>
      </c>
      <c r="AJ251" s="502"/>
      <c r="AK251" s="503"/>
      <c r="AL251" s="501"/>
      <c r="AM251" s="504"/>
      <c r="AN251" s="500"/>
      <c r="AO251" s="501"/>
      <c r="AP251" s="502"/>
      <c r="AQ251" s="503"/>
      <c r="AR251" s="501"/>
      <c r="AS251" s="504"/>
      <c r="AT251" s="500"/>
      <c r="AU251" s="501"/>
      <c r="AV251" s="502"/>
      <c r="AW251" s="503"/>
      <c r="AX251" s="501"/>
      <c r="AY251" s="504"/>
      <c r="AZ251" s="500"/>
      <c r="BA251" s="501"/>
      <c r="BB251" s="502"/>
      <c r="BC251" s="503"/>
      <c r="BD251" s="501"/>
      <c r="BE251" s="504"/>
      <c r="BF251" s="500"/>
      <c r="BG251" s="501"/>
      <c r="BH251" s="502"/>
      <c r="BI251" s="503"/>
      <c r="BJ251" s="501"/>
      <c r="BK251" s="504"/>
      <c r="BL251" s="615">
        <v>0</v>
      </c>
      <c r="BM251" s="616">
        <v>0</v>
      </c>
      <c r="BN251" s="617"/>
      <c r="BO251" s="503"/>
      <c r="BP251" s="501"/>
      <c r="BQ251" s="504"/>
      <c r="BR251" s="513">
        <f t="shared" si="50"/>
        <v>21566</v>
      </c>
      <c r="BS251" s="514">
        <f t="shared" si="50"/>
        <v>50000</v>
      </c>
      <c r="BT251" s="515">
        <f t="shared" si="50"/>
        <v>0</v>
      </c>
      <c r="BU251" s="516"/>
      <c r="BV251" s="517"/>
      <c r="BW251" s="518"/>
    </row>
    <row r="252" spans="1:75" ht="36.75" thickBot="1">
      <c r="A252" s="524" t="s">
        <v>49</v>
      </c>
      <c r="B252" s="525">
        <v>61</v>
      </c>
      <c r="C252" s="525" t="s">
        <v>40</v>
      </c>
      <c r="D252" s="608">
        <v>4224</v>
      </c>
      <c r="E252" s="609" t="s">
        <v>818</v>
      </c>
      <c r="F252" s="528" t="s">
        <v>687</v>
      </c>
      <c r="G252" s="529">
        <f t="shared" si="49"/>
        <v>0</v>
      </c>
      <c r="H252" s="530">
        <f t="shared" si="49"/>
        <v>13200</v>
      </c>
      <c r="I252" s="531">
        <f>BT252+BW252</f>
        <v>0</v>
      </c>
      <c r="J252" s="532"/>
      <c r="K252" s="533"/>
      <c r="L252" s="534"/>
      <c r="M252" s="535"/>
      <c r="N252" s="533"/>
      <c r="O252" s="536"/>
      <c r="P252" s="532"/>
      <c r="Q252" s="533"/>
      <c r="R252" s="534"/>
      <c r="S252" s="535"/>
      <c r="T252" s="533"/>
      <c r="U252" s="536"/>
      <c r="V252" s="532"/>
      <c r="W252" s="533"/>
      <c r="X252" s="534"/>
      <c r="Y252" s="537">
        <f t="shared" si="53"/>
        <v>0</v>
      </c>
      <c r="Z252" s="538">
        <f t="shared" si="53"/>
        <v>0</v>
      </c>
      <c r="AA252" s="539">
        <f t="shared" si="53"/>
        <v>0</v>
      </c>
      <c r="AB252" s="620"/>
      <c r="AC252" s="621"/>
      <c r="AD252" s="622"/>
      <c r="AE252" s="623"/>
      <c r="AF252" s="621"/>
      <c r="AG252" s="624"/>
      <c r="AH252" s="620"/>
      <c r="AI252" s="533">
        <v>13200</v>
      </c>
      <c r="AJ252" s="534"/>
      <c r="AK252" s="535"/>
      <c r="AL252" s="533"/>
      <c r="AM252" s="536"/>
      <c r="AN252" s="532"/>
      <c r="AO252" s="533"/>
      <c r="AP252" s="534"/>
      <c r="AQ252" s="535"/>
      <c r="AR252" s="533"/>
      <c r="AS252" s="536"/>
      <c r="AT252" s="532"/>
      <c r="AU252" s="533"/>
      <c r="AV252" s="534"/>
      <c r="AW252" s="535"/>
      <c r="AX252" s="533"/>
      <c r="AY252" s="536"/>
      <c r="AZ252" s="532"/>
      <c r="BA252" s="533"/>
      <c r="BB252" s="534"/>
      <c r="BC252" s="535"/>
      <c r="BD252" s="533"/>
      <c r="BE252" s="536"/>
      <c r="BF252" s="532"/>
      <c r="BG252" s="533"/>
      <c r="BH252" s="534"/>
      <c r="BI252" s="535"/>
      <c r="BJ252" s="533"/>
      <c r="BK252" s="536"/>
      <c r="BL252" s="620">
        <f>27000-27000</f>
        <v>0</v>
      </c>
      <c r="BM252" s="621"/>
      <c r="BN252" s="622"/>
      <c r="BO252" s="535"/>
      <c r="BP252" s="533"/>
      <c r="BQ252" s="536"/>
      <c r="BR252" s="546">
        <f t="shared" si="50"/>
        <v>0</v>
      </c>
      <c r="BS252" s="547">
        <f t="shared" si="50"/>
        <v>13200</v>
      </c>
      <c r="BT252" s="548">
        <f t="shared" si="50"/>
        <v>0</v>
      </c>
      <c r="BU252" s="549"/>
      <c r="BV252" s="550"/>
      <c r="BW252" s="551"/>
    </row>
    <row r="253" spans="1:75" ht="12.75" thickBot="1">
      <c r="A253" s="581" t="s">
        <v>49</v>
      </c>
      <c r="B253" s="554">
        <v>61</v>
      </c>
      <c r="C253" s="554" t="s">
        <v>40</v>
      </c>
      <c r="D253" s="555"/>
      <c r="E253" s="556" t="s">
        <v>161</v>
      </c>
      <c r="F253" s="557" t="s">
        <v>687</v>
      </c>
      <c r="G253" s="558">
        <f t="shared" ref="G253:BR253" si="54">SUM(G241:G252)</f>
        <v>305584</v>
      </c>
      <c r="H253" s="559">
        <f t="shared" si="54"/>
        <v>497887</v>
      </c>
      <c r="I253" s="560">
        <f t="shared" si="54"/>
        <v>0</v>
      </c>
      <c r="J253" s="561">
        <f t="shared" si="54"/>
        <v>0</v>
      </c>
      <c r="K253" s="559">
        <f t="shared" si="54"/>
        <v>0</v>
      </c>
      <c r="L253" s="562">
        <f t="shared" si="54"/>
        <v>0</v>
      </c>
      <c r="M253" s="558">
        <f t="shared" si="54"/>
        <v>0</v>
      </c>
      <c r="N253" s="559">
        <f t="shared" si="54"/>
        <v>0</v>
      </c>
      <c r="O253" s="560">
        <f t="shared" si="54"/>
        <v>0</v>
      </c>
      <c r="P253" s="561">
        <f t="shared" si="54"/>
        <v>0</v>
      </c>
      <c r="Q253" s="559">
        <f t="shared" si="54"/>
        <v>0</v>
      </c>
      <c r="R253" s="562">
        <f t="shared" si="54"/>
        <v>0</v>
      </c>
      <c r="S253" s="558">
        <f t="shared" si="54"/>
        <v>0</v>
      </c>
      <c r="T253" s="559">
        <f t="shared" si="54"/>
        <v>0</v>
      </c>
      <c r="U253" s="560">
        <f t="shared" si="54"/>
        <v>0</v>
      </c>
      <c r="V253" s="561">
        <f t="shared" si="54"/>
        <v>0</v>
      </c>
      <c r="W253" s="559">
        <f t="shared" si="54"/>
        <v>0</v>
      </c>
      <c r="X253" s="562">
        <f t="shared" si="54"/>
        <v>0</v>
      </c>
      <c r="Y253" s="558">
        <f t="shared" si="54"/>
        <v>0</v>
      </c>
      <c r="Z253" s="559">
        <f t="shared" si="54"/>
        <v>0</v>
      </c>
      <c r="AA253" s="560">
        <f t="shared" si="54"/>
        <v>0</v>
      </c>
      <c r="AB253" s="561">
        <f t="shared" si="54"/>
        <v>0</v>
      </c>
      <c r="AC253" s="559">
        <f t="shared" si="54"/>
        <v>0</v>
      </c>
      <c r="AD253" s="562">
        <f t="shared" si="54"/>
        <v>0</v>
      </c>
      <c r="AE253" s="558">
        <f t="shared" si="54"/>
        <v>0</v>
      </c>
      <c r="AF253" s="559">
        <f t="shared" si="54"/>
        <v>0</v>
      </c>
      <c r="AG253" s="560">
        <f t="shared" si="54"/>
        <v>0</v>
      </c>
      <c r="AH253" s="561">
        <f t="shared" si="54"/>
        <v>77722</v>
      </c>
      <c r="AI253" s="559">
        <f t="shared" si="54"/>
        <v>190663</v>
      </c>
      <c r="AJ253" s="562">
        <f t="shared" si="54"/>
        <v>0</v>
      </c>
      <c r="AK253" s="558">
        <f t="shared" si="54"/>
        <v>0</v>
      </c>
      <c r="AL253" s="559">
        <f t="shared" si="54"/>
        <v>0</v>
      </c>
      <c r="AM253" s="560">
        <f t="shared" si="54"/>
        <v>0</v>
      </c>
      <c r="AN253" s="561">
        <f t="shared" si="54"/>
        <v>0</v>
      </c>
      <c r="AO253" s="559">
        <f t="shared" si="54"/>
        <v>0</v>
      </c>
      <c r="AP253" s="562">
        <f t="shared" si="54"/>
        <v>0</v>
      </c>
      <c r="AQ253" s="558">
        <f t="shared" si="54"/>
        <v>0</v>
      </c>
      <c r="AR253" s="559">
        <f t="shared" si="54"/>
        <v>0</v>
      </c>
      <c r="AS253" s="560">
        <f t="shared" si="54"/>
        <v>0</v>
      </c>
      <c r="AT253" s="561">
        <f t="shared" si="54"/>
        <v>0</v>
      </c>
      <c r="AU253" s="559">
        <f t="shared" si="54"/>
        <v>0</v>
      </c>
      <c r="AV253" s="562">
        <f t="shared" si="54"/>
        <v>0</v>
      </c>
      <c r="AW253" s="558">
        <f t="shared" si="54"/>
        <v>0</v>
      </c>
      <c r="AX253" s="559">
        <f t="shared" si="54"/>
        <v>0</v>
      </c>
      <c r="AY253" s="560">
        <f t="shared" si="54"/>
        <v>0</v>
      </c>
      <c r="AZ253" s="561">
        <f t="shared" si="54"/>
        <v>0</v>
      </c>
      <c r="BA253" s="559">
        <f t="shared" si="54"/>
        <v>0</v>
      </c>
      <c r="BB253" s="562">
        <f t="shared" si="54"/>
        <v>0</v>
      </c>
      <c r="BC253" s="558">
        <f t="shared" si="54"/>
        <v>0</v>
      </c>
      <c r="BD253" s="559">
        <f t="shared" si="54"/>
        <v>0</v>
      </c>
      <c r="BE253" s="560">
        <f t="shared" si="54"/>
        <v>0</v>
      </c>
      <c r="BF253" s="561">
        <f t="shared" si="54"/>
        <v>0</v>
      </c>
      <c r="BG253" s="559">
        <f t="shared" si="54"/>
        <v>0</v>
      </c>
      <c r="BH253" s="562">
        <f t="shared" si="54"/>
        <v>0</v>
      </c>
      <c r="BI253" s="558">
        <f t="shared" si="54"/>
        <v>0</v>
      </c>
      <c r="BJ253" s="559">
        <f t="shared" si="54"/>
        <v>0</v>
      </c>
      <c r="BK253" s="560">
        <f t="shared" si="54"/>
        <v>0</v>
      </c>
      <c r="BL253" s="561">
        <f t="shared" si="54"/>
        <v>227862</v>
      </c>
      <c r="BM253" s="559">
        <f t="shared" si="54"/>
        <v>307224</v>
      </c>
      <c r="BN253" s="562">
        <f t="shared" si="54"/>
        <v>0</v>
      </c>
      <c r="BO253" s="558">
        <f t="shared" si="54"/>
        <v>0</v>
      </c>
      <c r="BP253" s="559">
        <f t="shared" si="54"/>
        <v>0</v>
      </c>
      <c r="BQ253" s="560">
        <f t="shared" si="54"/>
        <v>0</v>
      </c>
      <c r="BR253" s="561">
        <f t="shared" si="54"/>
        <v>305584</v>
      </c>
      <c r="BS253" s="559">
        <f t="shared" ref="BS253:BW253" si="55">SUM(BS241:BS252)</f>
        <v>497887</v>
      </c>
      <c r="BT253" s="562">
        <f t="shared" si="55"/>
        <v>0</v>
      </c>
      <c r="BU253" s="558">
        <f t="shared" si="55"/>
        <v>0</v>
      </c>
      <c r="BV253" s="559">
        <f t="shared" si="55"/>
        <v>0</v>
      </c>
      <c r="BW253" s="560">
        <f t="shared" si="55"/>
        <v>0</v>
      </c>
    </row>
    <row r="254" spans="1:75">
      <c r="A254" s="470" t="s">
        <v>49</v>
      </c>
      <c r="B254" s="471">
        <v>61</v>
      </c>
      <c r="C254" s="471" t="s">
        <v>40</v>
      </c>
      <c r="D254" s="472">
        <v>3111</v>
      </c>
      <c r="E254" s="473" t="s">
        <v>50</v>
      </c>
      <c r="F254" s="474" t="s">
        <v>686</v>
      </c>
      <c r="G254" s="564">
        <f t="shared" ref="G254:I271" si="56">BR254+BU254</f>
        <v>473180</v>
      </c>
      <c r="H254" s="565">
        <f t="shared" si="56"/>
        <v>731800</v>
      </c>
      <c r="I254" s="566">
        <f t="shared" si="56"/>
        <v>719000</v>
      </c>
      <c r="J254" s="567"/>
      <c r="K254" s="568"/>
      <c r="L254" s="569"/>
      <c r="M254" s="570"/>
      <c r="N254" s="568"/>
      <c r="O254" s="571"/>
      <c r="P254" s="567"/>
      <c r="Q254" s="568"/>
      <c r="R254" s="569"/>
      <c r="S254" s="570">
        <f>310000-310000</f>
        <v>0</v>
      </c>
      <c r="T254" s="568">
        <f>155000-155000</f>
        <v>0</v>
      </c>
      <c r="U254" s="571"/>
      <c r="V254" s="567"/>
      <c r="W254" s="568"/>
      <c r="X254" s="569"/>
      <c r="Y254" s="572">
        <f t="shared" ref="Y254:AA271" si="57">J254+M254+P254+S254+V254</f>
        <v>0</v>
      </c>
      <c r="Z254" s="573">
        <f t="shared" si="57"/>
        <v>0</v>
      </c>
      <c r="AA254" s="574">
        <f t="shared" si="57"/>
        <v>0</v>
      </c>
      <c r="AB254" s="567"/>
      <c r="AC254" s="568"/>
      <c r="AD254" s="569"/>
      <c r="AE254" s="570">
        <f>87930-35000</f>
        <v>52930</v>
      </c>
      <c r="AF254" s="568"/>
      <c r="AG254" s="571"/>
      <c r="AH254" s="567"/>
      <c r="AI254" s="568"/>
      <c r="AJ254" s="569"/>
      <c r="AK254" s="570"/>
      <c r="AL254" s="568"/>
      <c r="AM254" s="571"/>
      <c r="AN254" s="567">
        <f>600000-300000</f>
        <v>300000</v>
      </c>
      <c r="AO254" s="568">
        <v>600000</v>
      </c>
      <c r="AP254" s="569">
        <v>600000</v>
      </c>
      <c r="AQ254" s="570"/>
      <c r="AR254" s="568"/>
      <c r="AS254" s="571"/>
      <c r="AT254" s="567"/>
      <c r="AU254" s="568"/>
      <c r="AV254" s="569"/>
      <c r="AW254" s="570"/>
      <c r="AX254" s="568"/>
      <c r="AY254" s="571"/>
      <c r="AZ254" s="567"/>
      <c r="BA254" s="568"/>
      <c r="BB254" s="569"/>
      <c r="BC254" s="570"/>
      <c r="BD254" s="568"/>
      <c r="BE254" s="571"/>
      <c r="BF254" s="567"/>
      <c r="BG254" s="568"/>
      <c r="BH254" s="569"/>
      <c r="BI254" s="570">
        <f>230250-110000</f>
        <v>120250</v>
      </c>
      <c r="BJ254" s="568">
        <v>131800</v>
      </c>
      <c r="BK254" s="571">
        <v>119000</v>
      </c>
      <c r="BL254" s="567"/>
      <c r="BM254" s="568"/>
      <c r="BN254" s="569"/>
      <c r="BO254" s="570"/>
      <c r="BP254" s="568"/>
      <c r="BQ254" s="571"/>
      <c r="BR254" s="575">
        <f t="shared" ref="BR254:BT271" si="58">AB254+AE254+AH254+AK254+AN254+AQ254+AT254+AW254+AZ254+BC254+BF254+BI254+BL254+BO254+Y254</f>
        <v>473180</v>
      </c>
      <c r="BS254" s="576">
        <f t="shared" si="58"/>
        <v>731800</v>
      </c>
      <c r="BT254" s="577">
        <f t="shared" si="58"/>
        <v>719000</v>
      </c>
      <c r="BU254" s="578"/>
      <c r="BV254" s="579"/>
      <c r="BW254" s="580"/>
    </row>
    <row r="255" spans="1:75" ht="24">
      <c r="A255" s="519" t="s">
        <v>49</v>
      </c>
      <c r="B255" s="520">
        <v>61</v>
      </c>
      <c r="C255" s="520" t="s">
        <v>40</v>
      </c>
      <c r="D255" s="521">
        <v>3121</v>
      </c>
      <c r="E255" s="522" t="s">
        <v>51</v>
      </c>
      <c r="F255" s="523" t="s">
        <v>686</v>
      </c>
      <c r="G255" s="497">
        <f t="shared" si="56"/>
        <v>6000</v>
      </c>
      <c r="H255" s="498">
        <f t="shared" si="56"/>
        <v>3000</v>
      </c>
      <c r="I255" s="499">
        <f t="shared" si="56"/>
        <v>3000</v>
      </c>
      <c r="J255" s="500"/>
      <c r="K255" s="501"/>
      <c r="L255" s="502"/>
      <c r="M255" s="503"/>
      <c r="N255" s="501"/>
      <c r="O255" s="504"/>
      <c r="P255" s="500"/>
      <c r="Q255" s="501"/>
      <c r="R255" s="502"/>
      <c r="S255" s="503">
        <f>6000-6000</f>
        <v>0</v>
      </c>
      <c r="T255" s="501">
        <f>3000-3000</f>
        <v>0</v>
      </c>
      <c r="U255" s="504"/>
      <c r="V255" s="500"/>
      <c r="W255" s="501"/>
      <c r="X255" s="502"/>
      <c r="Y255" s="505">
        <f t="shared" si="57"/>
        <v>0</v>
      </c>
      <c r="Z255" s="506">
        <f t="shared" si="57"/>
        <v>0</v>
      </c>
      <c r="AA255" s="507">
        <f t="shared" si="57"/>
        <v>0</v>
      </c>
      <c r="AB255" s="500"/>
      <c r="AC255" s="501"/>
      <c r="AD255" s="502"/>
      <c r="AE255" s="503">
        <v>1500</v>
      </c>
      <c r="AF255" s="501"/>
      <c r="AG255" s="504"/>
      <c r="AH255" s="500"/>
      <c r="AI255" s="501"/>
      <c r="AJ255" s="502"/>
      <c r="AK255" s="503"/>
      <c r="AL255" s="501"/>
      <c r="AM255" s="504"/>
      <c r="AN255" s="500"/>
      <c r="AO255" s="501"/>
      <c r="AP255" s="502"/>
      <c r="AQ255" s="503"/>
      <c r="AR255" s="501"/>
      <c r="AS255" s="504"/>
      <c r="AT255" s="500"/>
      <c r="AU255" s="501"/>
      <c r="AV255" s="502"/>
      <c r="AW255" s="503"/>
      <c r="AX255" s="501"/>
      <c r="AY255" s="504"/>
      <c r="AZ255" s="500"/>
      <c r="BA255" s="501"/>
      <c r="BB255" s="502"/>
      <c r="BC255" s="503"/>
      <c r="BD255" s="501"/>
      <c r="BE255" s="504"/>
      <c r="BF255" s="500"/>
      <c r="BG255" s="501"/>
      <c r="BH255" s="502"/>
      <c r="BI255" s="503">
        <v>4500</v>
      </c>
      <c r="BJ255" s="501">
        <v>3000</v>
      </c>
      <c r="BK255" s="504">
        <v>3000</v>
      </c>
      <c r="BL255" s="500"/>
      <c r="BM255" s="501"/>
      <c r="BN255" s="502"/>
      <c r="BO255" s="503"/>
      <c r="BP255" s="501"/>
      <c r="BQ255" s="504"/>
      <c r="BR255" s="513">
        <f t="shared" si="58"/>
        <v>6000</v>
      </c>
      <c r="BS255" s="514">
        <f t="shared" si="58"/>
        <v>3000</v>
      </c>
      <c r="BT255" s="515">
        <f t="shared" si="58"/>
        <v>3000</v>
      </c>
      <c r="BU255" s="516"/>
      <c r="BV255" s="517"/>
      <c r="BW255" s="518"/>
    </row>
    <row r="256" spans="1:75" ht="36">
      <c r="A256" s="519" t="s">
        <v>49</v>
      </c>
      <c r="B256" s="520">
        <v>61</v>
      </c>
      <c r="C256" s="520" t="s">
        <v>40</v>
      </c>
      <c r="D256" s="521">
        <v>3132</v>
      </c>
      <c r="E256" s="522" t="s">
        <v>52</v>
      </c>
      <c r="F256" s="523" t="s">
        <v>686</v>
      </c>
      <c r="G256" s="497">
        <f t="shared" si="56"/>
        <v>88982</v>
      </c>
      <c r="H256" s="498">
        <f t="shared" si="56"/>
        <v>121200</v>
      </c>
      <c r="I256" s="499">
        <f t="shared" si="56"/>
        <v>119000</v>
      </c>
      <c r="J256" s="500"/>
      <c r="K256" s="501"/>
      <c r="L256" s="502"/>
      <c r="M256" s="503"/>
      <c r="N256" s="501"/>
      <c r="O256" s="504"/>
      <c r="P256" s="500"/>
      <c r="Q256" s="501"/>
      <c r="R256" s="502"/>
      <c r="S256" s="503"/>
      <c r="T256" s="501"/>
      <c r="U256" s="504"/>
      <c r="V256" s="500"/>
      <c r="W256" s="501"/>
      <c r="X256" s="502"/>
      <c r="Y256" s="505">
        <f t="shared" si="57"/>
        <v>0</v>
      </c>
      <c r="Z256" s="506">
        <f t="shared" si="57"/>
        <v>0</v>
      </c>
      <c r="AA256" s="507">
        <f t="shared" si="57"/>
        <v>0</v>
      </c>
      <c r="AB256" s="500"/>
      <c r="AC256" s="501"/>
      <c r="AD256" s="502"/>
      <c r="AE256" s="503">
        <f>14510-4811</f>
        <v>9699</v>
      </c>
      <c r="AF256" s="501"/>
      <c r="AG256" s="504"/>
      <c r="AH256" s="500"/>
      <c r="AI256" s="501"/>
      <c r="AJ256" s="502"/>
      <c r="AK256" s="503"/>
      <c r="AL256" s="501"/>
      <c r="AM256" s="504"/>
      <c r="AN256" s="500">
        <f>99000-45000</f>
        <v>54000</v>
      </c>
      <c r="AO256" s="501">
        <v>99000</v>
      </c>
      <c r="AP256" s="502">
        <v>99000</v>
      </c>
      <c r="AQ256" s="503"/>
      <c r="AR256" s="501"/>
      <c r="AS256" s="504"/>
      <c r="AT256" s="500"/>
      <c r="AU256" s="501"/>
      <c r="AV256" s="502"/>
      <c r="AW256" s="503"/>
      <c r="AX256" s="501"/>
      <c r="AY256" s="504"/>
      <c r="AZ256" s="500"/>
      <c r="BA256" s="501"/>
      <c r="BB256" s="502"/>
      <c r="BC256" s="503"/>
      <c r="BD256" s="501"/>
      <c r="BE256" s="504"/>
      <c r="BF256" s="500"/>
      <c r="BG256" s="501"/>
      <c r="BH256" s="502"/>
      <c r="BI256" s="503">
        <f>38250-12967</f>
        <v>25283</v>
      </c>
      <c r="BJ256" s="501">
        <v>22200</v>
      </c>
      <c r="BK256" s="504">
        <v>20000</v>
      </c>
      <c r="BL256" s="500"/>
      <c r="BM256" s="501"/>
      <c r="BN256" s="502"/>
      <c r="BO256" s="503"/>
      <c r="BP256" s="501"/>
      <c r="BQ256" s="504"/>
      <c r="BR256" s="513">
        <f t="shared" si="58"/>
        <v>88982</v>
      </c>
      <c r="BS256" s="514">
        <f t="shared" si="58"/>
        <v>121200</v>
      </c>
      <c r="BT256" s="515">
        <f t="shared" si="58"/>
        <v>119000</v>
      </c>
      <c r="BU256" s="516"/>
      <c r="BV256" s="517"/>
      <c r="BW256" s="518"/>
    </row>
    <row r="257" spans="1:75">
      <c r="A257" s="519" t="s">
        <v>49</v>
      </c>
      <c r="B257" s="520">
        <v>61</v>
      </c>
      <c r="C257" s="520" t="s">
        <v>40</v>
      </c>
      <c r="D257" s="521">
        <v>3211</v>
      </c>
      <c r="E257" s="522" t="s">
        <v>60</v>
      </c>
      <c r="F257" s="523" t="s">
        <v>686</v>
      </c>
      <c r="G257" s="497">
        <f t="shared" si="56"/>
        <v>52400</v>
      </c>
      <c r="H257" s="498">
        <f t="shared" si="56"/>
        <v>42000</v>
      </c>
      <c r="I257" s="499">
        <f t="shared" si="56"/>
        <v>25000</v>
      </c>
      <c r="J257" s="500"/>
      <c r="K257" s="501"/>
      <c r="L257" s="502"/>
      <c r="M257" s="503"/>
      <c r="N257" s="501"/>
      <c r="O257" s="504"/>
      <c r="P257" s="500"/>
      <c r="Q257" s="501"/>
      <c r="R257" s="502"/>
      <c r="S257" s="503">
        <f>87500-87500</f>
        <v>0</v>
      </c>
      <c r="T257" s="501">
        <f>81200-81200</f>
        <v>0</v>
      </c>
      <c r="U257" s="504"/>
      <c r="V257" s="500"/>
      <c r="W257" s="501"/>
      <c r="X257" s="502"/>
      <c r="Y257" s="505">
        <f t="shared" si="57"/>
        <v>0</v>
      </c>
      <c r="Z257" s="506">
        <f t="shared" si="57"/>
        <v>0</v>
      </c>
      <c r="AA257" s="507">
        <f t="shared" si="57"/>
        <v>0</v>
      </c>
      <c r="AB257" s="500">
        <v>5000</v>
      </c>
      <c r="AC257" s="501">
        <v>5000</v>
      </c>
      <c r="AD257" s="502">
        <v>5000</v>
      </c>
      <c r="AE257" s="503"/>
      <c r="AF257" s="501"/>
      <c r="AG257" s="504"/>
      <c r="AH257" s="500"/>
      <c r="AI257" s="501"/>
      <c r="AJ257" s="502"/>
      <c r="AK257" s="503"/>
      <c r="AL257" s="501"/>
      <c r="AM257" s="504"/>
      <c r="AN257" s="500">
        <v>5000</v>
      </c>
      <c r="AO257" s="501">
        <v>5000</v>
      </c>
      <c r="AP257" s="502">
        <v>5000</v>
      </c>
      <c r="AQ257" s="503"/>
      <c r="AR257" s="501"/>
      <c r="AS257" s="504"/>
      <c r="AT257" s="500"/>
      <c r="AU257" s="501"/>
      <c r="AV257" s="502"/>
      <c r="AW257" s="503"/>
      <c r="AX257" s="501"/>
      <c r="AY257" s="504"/>
      <c r="AZ257" s="500"/>
      <c r="BA257" s="501"/>
      <c r="BB257" s="502"/>
      <c r="BC257" s="503"/>
      <c r="BD257" s="501"/>
      <c r="BE257" s="504"/>
      <c r="BF257" s="500">
        <v>9400</v>
      </c>
      <c r="BG257" s="501">
        <v>12000</v>
      </c>
      <c r="BH257" s="502">
        <v>15000</v>
      </c>
      <c r="BI257" s="503">
        <v>33000</v>
      </c>
      <c r="BJ257" s="501">
        <v>20000</v>
      </c>
      <c r="BK257" s="504">
        <v>0</v>
      </c>
      <c r="BL257" s="500"/>
      <c r="BM257" s="501"/>
      <c r="BN257" s="502"/>
      <c r="BO257" s="503"/>
      <c r="BP257" s="501"/>
      <c r="BQ257" s="504"/>
      <c r="BR257" s="513">
        <f t="shared" si="58"/>
        <v>52400</v>
      </c>
      <c r="BS257" s="514">
        <f t="shared" si="58"/>
        <v>42000</v>
      </c>
      <c r="BT257" s="515">
        <f t="shared" si="58"/>
        <v>25000</v>
      </c>
      <c r="BU257" s="516"/>
      <c r="BV257" s="517"/>
      <c r="BW257" s="518"/>
    </row>
    <row r="258" spans="1:75" ht="36">
      <c r="A258" s="519" t="s">
        <v>49</v>
      </c>
      <c r="B258" s="520">
        <v>61</v>
      </c>
      <c r="C258" s="520" t="s">
        <v>40</v>
      </c>
      <c r="D258" s="521">
        <v>3212</v>
      </c>
      <c r="E258" s="522" t="s">
        <v>53</v>
      </c>
      <c r="F258" s="523" t="s">
        <v>686</v>
      </c>
      <c r="G258" s="497">
        <f t="shared" si="56"/>
        <v>22250</v>
      </c>
      <c r="H258" s="498">
        <f t="shared" si="56"/>
        <v>18500</v>
      </c>
      <c r="I258" s="499">
        <f t="shared" si="56"/>
        <v>18500</v>
      </c>
      <c r="J258" s="500"/>
      <c r="K258" s="501"/>
      <c r="L258" s="502"/>
      <c r="M258" s="503"/>
      <c r="N258" s="501"/>
      <c r="O258" s="504"/>
      <c r="P258" s="500"/>
      <c r="Q258" s="501"/>
      <c r="R258" s="502"/>
      <c r="S258" s="503">
        <f>7500-7500</f>
        <v>0</v>
      </c>
      <c r="T258" s="501">
        <f>3750-3750</f>
        <v>0</v>
      </c>
      <c r="U258" s="504"/>
      <c r="V258" s="500"/>
      <c r="W258" s="501"/>
      <c r="X258" s="502"/>
      <c r="Y258" s="505">
        <f t="shared" si="57"/>
        <v>0</v>
      </c>
      <c r="Z258" s="506">
        <f t="shared" si="57"/>
        <v>0</v>
      </c>
      <c r="AA258" s="507">
        <f t="shared" si="57"/>
        <v>0</v>
      </c>
      <c r="AB258" s="500"/>
      <c r="AC258" s="501"/>
      <c r="AD258" s="502"/>
      <c r="AE258" s="503">
        <v>2250</v>
      </c>
      <c r="AF258" s="501"/>
      <c r="AG258" s="504"/>
      <c r="AH258" s="500"/>
      <c r="AI258" s="501"/>
      <c r="AJ258" s="502"/>
      <c r="AK258" s="503"/>
      <c r="AL258" s="501"/>
      <c r="AM258" s="504"/>
      <c r="AN258" s="500">
        <v>15000</v>
      </c>
      <c r="AO258" s="501">
        <v>15000</v>
      </c>
      <c r="AP258" s="502">
        <v>15000</v>
      </c>
      <c r="AQ258" s="503"/>
      <c r="AR258" s="501"/>
      <c r="AS258" s="504"/>
      <c r="AT258" s="500"/>
      <c r="AU258" s="501"/>
      <c r="AV258" s="502"/>
      <c r="AW258" s="503"/>
      <c r="AX258" s="501"/>
      <c r="AY258" s="504"/>
      <c r="AZ258" s="500"/>
      <c r="BA258" s="501"/>
      <c r="BB258" s="502"/>
      <c r="BC258" s="503"/>
      <c r="BD258" s="501"/>
      <c r="BE258" s="504"/>
      <c r="BF258" s="500"/>
      <c r="BG258" s="501"/>
      <c r="BH258" s="502"/>
      <c r="BI258" s="503">
        <v>5000</v>
      </c>
      <c r="BJ258" s="501">
        <v>3500</v>
      </c>
      <c r="BK258" s="504">
        <v>3500</v>
      </c>
      <c r="BL258" s="500"/>
      <c r="BM258" s="501"/>
      <c r="BN258" s="502"/>
      <c r="BO258" s="503"/>
      <c r="BP258" s="501"/>
      <c r="BQ258" s="504"/>
      <c r="BR258" s="513">
        <f t="shared" si="58"/>
        <v>22250</v>
      </c>
      <c r="BS258" s="514">
        <f t="shared" si="58"/>
        <v>18500</v>
      </c>
      <c r="BT258" s="515">
        <f t="shared" si="58"/>
        <v>18500</v>
      </c>
      <c r="BU258" s="516"/>
      <c r="BV258" s="517"/>
      <c r="BW258" s="518"/>
    </row>
    <row r="259" spans="1:75" ht="24">
      <c r="A259" s="519" t="s">
        <v>49</v>
      </c>
      <c r="B259" s="520">
        <v>61</v>
      </c>
      <c r="C259" s="520" t="s">
        <v>40</v>
      </c>
      <c r="D259" s="521">
        <v>3213</v>
      </c>
      <c r="E259" s="522" t="s">
        <v>64</v>
      </c>
      <c r="F259" s="523" t="s">
        <v>686</v>
      </c>
      <c r="G259" s="497">
        <f t="shared" si="56"/>
        <v>40000</v>
      </c>
      <c r="H259" s="498">
        <f t="shared" si="56"/>
        <v>5000</v>
      </c>
      <c r="I259" s="499">
        <f t="shared" si="56"/>
        <v>5000</v>
      </c>
      <c r="J259" s="500"/>
      <c r="K259" s="501"/>
      <c r="L259" s="502"/>
      <c r="M259" s="503"/>
      <c r="N259" s="501"/>
      <c r="O259" s="504"/>
      <c r="P259" s="500"/>
      <c r="Q259" s="501"/>
      <c r="R259" s="502"/>
      <c r="S259" s="503">
        <f>5500-5500</f>
        <v>0</v>
      </c>
      <c r="T259" s="501">
        <f>9500-9500</f>
        <v>0</v>
      </c>
      <c r="U259" s="504"/>
      <c r="V259" s="500"/>
      <c r="W259" s="501"/>
      <c r="X259" s="502"/>
      <c r="Y259" s="505">
        <f t="shared" si="57"/>
        <v>0</v>
      </c>
      <c r="Z259" s="506">
        <f t="shared" si="57"/>
        <v>0</v>
      </c>
      <c r="AA259" s="507">
        <f t="shared" si="57"/>
        <v>0</v>
      </c>
      <c r="AB259" s="500"/>
      <c r="AC259" s="501"/>
      <c r="AD259" s="502"/>
      <c r="AE259" s="503"/>
      <c r="AF259" s="501"/>
      <c r="AG259" s="504"/>
      <c r="AH259" s="500"/>
      <c r="AI259" s="501"/>
      <c r="AJ259" s="502"/>
      <c r="AK259" s="503"/>
      <c r="AL259" s="501"/>
      <c r="AM259" s="504"/>
      <c r="AN259" s="500">
        <v>40000</v>
      </c>
      <c r="AO259" s="501">
        <v>5000</v>
      </c>
      <c r="AP259" s="502">
        <v>5000</v>
      </c>
      <c r="AQ259" s="503"/>
      <c r="AR259" s="501"/>
      <c r="AS259" s="504"/>
      <c r="AT259" s="500"/>
      <c r="AU259" s="501"/>
      <c r="AV259" s="502"/>
      <c r="AW259" s="503"/>
      <c r="AX259" s="501"/>
      <c r="AY259" s="504"/>
      <c r="AZ259" s="500"/>
      <c r="BA259" s="501"/>
      <c r="BB259" s="502"/>
      <c r="BC259" s="503"/>
      <c r="BD259" s="501"/>
      <c r="BE259" s="504"/>
      <c r="BF259" s="500"/>
      <c r="BG259" s="501"/>
      <c r="BH259" s="502"/>
      <c r="BI259" s="503"/>
      <c r="BJ259" s="501"/>
      <c r="BK259" s="504"/>
      <c r="BL259" s="500"/>
      <c r="BM259" s="501"/>
      <c r="BN259" s="502"/>
      <c r="BO259" s="503"/>
      <c r="BP259" s="501"/>
      <c r="BQ259" s="504"/>
      <c r="BR259" s="513">
        <f t="shared" si="58"/>
        <v>40000</v>
      </c>
      <c r="BS259" s="514">
        <f t="shared" si="58"/>
        <v>5000</v>
      </c>
      <c r="BT259" s="515">
        <f t="shared" si="58"/>
        <v>5000</v>
      </c>
      <c r="BU259" s="516"/>
      <c r="BV259" s="517"/>
      <c r="BW259" s="518"/>
    </row>
    <row r="260" spans="1:75" ht="36">
      <c r="A260" s="519" t="s">
        <v>49</v>
      </c>
      <c r="B260" s="520">
        <v>61</v>
      </c>
      <c r="C260" s="520" t="s">
        <v>40</v>
      </c>
      <c r="D260" s="521">
        <v>3221</v>
      </c>
      <c r="E260" s="522" t="s">
        <v>65</v>
      </c>
      <c r="F260" s="523" t="s">
        <v>686</v>
      </c>
      <c r="G260" s="497">
        <f t="shared" si="56"/>
        <v>16484</v>
      </c>
      <c r="H260" s="498">
        <f t="shared" si="56"/>
        <v>50000</v>
      </c>
      <c r="I260" s="499">
        <f t="shared" si="56"/>
        <v>50000</v>
      </c>
      <c r="J260" s="500"/>
      <c r="K260" s="501"/>
      <c r="L260" s="502"/>
      <c r="M260" s="503"/>
      <c r="N260" s="501"/>
      <c r="O260" s="504"/>
      <c r="P260" s="500"/>
      <c r="Q260" s="501"/>
      <c r="R260" s="502"/>
      <c r="S260" s="503">
        <f>32000-32000</f>
        <v>0</v>
      </c>
      <c r="T260" s="501">
        <f>32000-32000</f>
        <v>0</v>
      </c>
      <c r="U260" s="504"/>
      <c r="V260" s="500"/>
      <c r="W260" s="501"/>
      <c r="X260" s="502"/>
      <c r="Y260" s="505">
        <f t="shared" si="57"/>
        <v>0</v>
      </c>
      <c r="Z260" s="506">
        <f t="shared" si="57"/>
        <v>0</v>
      </c>
      <c r="AA260" s="507">
        <f t="shared" si="57"/>
        <v>0</v>
      </c>
      <c r="AB260" s="500"/>
      <c r="AC260" s="501"/>
      <c r="AD260" s="502"/>
      <c r="AE260" s="503"/>
      <c r="AF260" s="501"/>
      <c r="AG260" s="504"/>
      <c r="AH260" s="500"/>
      <c r="AI260" s="501"/>
      <c r="AJ260" s="502"/>
      <c r="AK260" s="503"/>
      <c r="AL260" s="501"/>
      <c r="AM260" s="504"/>
      <c r="AN260" s="500">
        <v>5000</v>
      </c>
      <c r="AO260" s="501">
        <v>5000</v>
      </c>
      <c r="AP260" s="502">
        <v>5000</v>
      </c>
      <c r="AQ260" s="503"/>
      <c r="AR260" s="501"/>
      <c r="AS260" s="504"/>
      <c r="AT260" s="500"/>
      <c r="AU260" s="501"/>
      <c r="AV260" s="502"/>
      <c r="AW260" s="503"/>
      <c r="AX260" s="501"/>
      <c r="AY260" s="504"/>
      <c r="AZ260" s="500"/>
      <c r="BA260" s="501"/>
      <c r="BB260" s="502"/>
      <c r="BC260" s="503"/>
      <c r="BD260" s="501"/>
      <c r="BE260" s="504"/>
      <c r="BF260" s="500">
        <f>45000-33516</f>
        <v>11484</v>
      </c>
      <c r="BG260" s="501">
        <v>45000</v>
      </c>
      <c r="BH260" s="502">
        <v>45000</v>
      </c>
      <c r="BI260" s="503"/>
      <c r="BJ260" s="501"/>
      <c r="BK260" s="504"/>
      <c r="BL260" s="500"/>
      <c r="BM260" s="501"/>
      <c r="BN260" s="502"/>
      <c r="BO260" s="503"/>
      <c r="BP260" s="501"/>
      <c r="BQ260" s="504"/>
      <c r="BR260" s="513">
        <f t="shared" si="58"/>
        <v>16484</v>
      </c>
      <c r="BS260" s="514">
        <f t="shared" si="58"/>
        <v>50000</v>
      </c>
      <c r="BT260" s="515">
        <f t="shared" si="58"/>
        <v>50000</v>
      </c>
      <c r="BU260" s="516"/>
      <c r="BV260" s="517"/>
      <c r="BW260" s="518"/>
    </row>
    <row r="261" spans="1:75" ht="24">
      <c r="A261" s="519" t="s">
        <v>49</v>
      </c>
      <c r="B261" s="520">
        <v>61</v>
      </c>
      <c r="C261" s="520" t="s">
        <v>40</v>
      </c>
      <c r="D261" s="521">
        <v>3224</v>
      </c>
      <c r="E261" s="522" t="s">
        <v>714</v>
      </c>
      <c r="F261" s="523" t="s">
        <v>686</v>
      </c>
      <c r="G261" s="497">
        <f t="shared" si="56"/>
        <v>54000</v>
      </c>
      <c r="H261" s="498">
        <f t="shared" si="56"/>
        <v>29000</v>
      </c>
      <c r="I261" s="499">
        <f t="shared" si="56"/>
        <v>29000</v>
      </c>
      <c r="J261" s="500"/>
      <c r="K261" s="501"/>
      <c r="L261" s="502"/>
      <c r="M261" s="503"/>
      <c r="N261" s="501"/>
      <c r="O261" s="504"/>
      <c r="P261" s="500"/>
      <c r="Q261" s="501"/>
      <c r="R261" s="502"/>
      <c r="S261" s="503"/>
      <c r="T261" s="501"/>
      <c r="U261" s="504"/>
      <c r="V261" s="500"/>
      <c r="W261" s="501"/>
      <c r="X261" s="502"/>
      <c r="Y261" s="505">
        <f t="shared" si="57"/>
        <v>0</v>
      </c>
      <c r="Z261" s="506">
        <f t="shared" si="57"/>
        <v>0</v>
      </c>
      <c r="AA261" s="507">
        <f t="shared" si="57"/>
        <v>0</v>
      </c>
      <c r="AB261" s="500"/>
      <c r="AC261" s="501"/>
      <c r="AD261" s="502"/>
      <c r="AE261" s="503"/>
      <c r="AF261" s="501"/>
      <c r="AG261" s="504"/>
      <c r="AH261" s="500"/>
      <c r="AI261" s="501"/>
      <c r="AJ261" s="502"/>
      <c r="AK261" s="503"/>
      <c r="AL261" s="501"/>
      <c r="AM261" s="504"/>
      <c r="AN261" s="500">
        <f>5000+25000+24000</f>
        <v>54000</v>
      </c>
      <c r="AO261" s="501">
        <f>5000+24000</f>
        <v>29000</v>
      </c>
      <c r="AP261" s="502">
        <f>5000+24000</f>
        <v>29000</v>
      </c>
      <c r="AQ261" s="503"/>
      <c r="AR261" s="501"/>
      <c r="AS261" s="504"/>
      <c r="AT261" s="500"/>
      <c r="AU261" s="501"/>
      <c r="AV261" s="502"/>
      <c r="AW261" s="503"/>
      <c r="AX261" s="501"/>
      <c r="AY261" s="504"/>
      <c r="AZ261" s="500"/>
      <c r="BA261" s="501"/>
      <c r="BB261" s="502"/>
      <c r="BC261" s="503"/>
      <c r="BD261" s="501"/>
      <c r="BE261" s="504"/>
      <c r="BF261" s="500"/>
      <c r="BG261" s="501"/>
      <c r="BH261" s="502"/>
      <c r="BI261" s="503"/>
      <c r="BJ261" s="501"/>
      <c r="BK261" s="504"/>
      <c r="BL261" s="500"/>
      <c r="BM261" s="501"/>
      <c r="BN261" s="502"/>
      <c r="BO261" s="503"/>
      <c r="BP261" s="501"/>
      <c r="BQ261" s="504"/>
      <c r="BR261" s="513">
        <f t="shared" si="58"/>
        <v>54000</v>
      </c>
      <c r="BS261" s="514">
        <f t="shared" si="58"/>
        <v>29000</v>
      </c>
      <c r="BT261" s="515">
        <f t="shared" si="58"/>
        <v>29000</v>
      </c>
      <c r="BU261" s="516"/>
      <c r="BV261" s="517"/>
      <c r="BW261" s="518"/>
    </row>
    <row r="262" spans="1:75" ht="24">
      <c r="A262" s="519" t="s">
        <v>49</v>
      </c>
      <c r="B262" s="520">
        <v>61</v>
      </c>
      <c r="C262" s="520" t="s">
        <v>40</v>
      </c>
      <c r="D262" s="521">
        <v>3233</v>
      </c>
      <c r="E262" s="522" t="s">
        <v>81</v>
      </c>
      <c r="F262" s="523" t="s">
        <v>686</v>
      </c>
      <c r="G262" s="497">
        <f t="shared" si="56"/>
        <v>83130</v>
      </c>
      <c r="H262" s="498">
        <f t="shared" si="56"/>
        <v>120000</v>
      </c>
      <c r="I262" s="499">
        <f t="shared" si="56"/>
        <v>120000</v>
      </c>
      <c r="J262" s="500"/>
      <c r="K262" s="501"/>
      <c r="L262" s="502"/>
      <c r="M262" s="503"/>
      <c r="N262" s="501"/>
      <c r="O262" s="504"/>
      <c r="P262" s="500"/>
      <c r="Q262" s="501"/>
      <c r="R262" s="502"/>
      <c r="S262" s="503"/>
      <c r="T262" s="501"/>
      <c r="U262" s="504"/>
      <c r="V262" s="500"/>
      <c r="W262" s="501"/>
      <c r="X262" s="502"/>
      <c r="Y262" s="505">
        <f t="shared" si="57"/>
        <v>0</v>
      </c>
      <c r="Z262" s="506">
        <f t="shared" si="57"/>
        <v>0</v>
      </c>
      <c r="AA262" s="507">
        <f t="shared" si="57"/>
        <v>0</v>
      </c>
      <c r="AB262" s="500">
        <f>40000-16870</f>
        <v>23130</v>
      </c>
      <c r="AC262" s="501">
        <v>40000</v>
      </c>
      <c r="AD262" s="502">
        <v>40000</v>
      </c>
      <c r="AE262" s="503"/>
      <c r="AF262" s="501"/>
      <c r="AG262" s="504"/>
      <c r="AH262" s="500"/>
      <c r="AI262" s="501"/>
      <c r="AJ262" s="502"/>
      <c r="AK262" s="503"/>
      <c r="AL262" s="501"/>
      <c r="AM262" s="504"/>
      <c r="AN262" s="500">
        <f>80000+80000-100000</f>
        <v>60000</v>
      </c>
      <c r="AO262" s="501">
        <v>80000</v>
      </c>
      <c r="AP262" s="502">
        <v>80000</v>
      </c>
      <c r="AQ262" s="503"/>
      <c r="AR262" s="501"/>
      <c r="AS262" s="504"/>
      <c r="AT262" s="500"/>
      <c r="AU262" s="501"/>
      <c r="AV262" s="502"/>
      <c r="AW262" s="503"/>
      <c r="AX262" s="501"/>
      <c r="AY262" s="504"/>
      <c r="AZ262" s="500"/>
      <c r="BA262" s="501"/>
      <c r="BB262" s="502"/>
      <c r="BC262" s="503"/>
      <c r="BD262" s="501"/>
      <c r="BE262" s="504"/>
      <c r="BF262" s="500"/>
      <c r="BG262" s="501"/>
      <c r="BH262" s="502"/>
      <c r="BI262" s="503"/>
      <c r="BJ262" s="501"/>
      <c r="BK262" s="504"/>
      <c r="BL262" s="500"/>
      <c r="BM262" s="501"/>
      <c r="BN262" s="502"/>
      <c r="BO262" s="503"/>
      <c r="BP262" s="501"/>
      <c r="BQ262" s="504"/>
      <c r="BR262" s="513">
        <f t="shared" si="58"/>
        <v>83130</v>
      </c>
      <c r="BS262" s="514">
        <f t="shared" si="58"/>
        <v>120000</v>
      </c>
      <c r="BT262" s="515">
        <f t="shared" si="58"/>
        <v>120000</v>
      </c>
      <c r="BU262" s="516"/>
      <c r="BV262" s="517"/>
      <c r="BW262" s="518"/>
    </row>
    <row r="263" spans="1:75" ht="24">
      <c r="A263" s="519" t="s">
        <v>49</v>
      </c>
      <c r="B263" s="520">
        <v>61</v>
      </c>
      <c r="C263" s="520" t="s">
        <v>40</v>
      </c>
      <c r="D263" s="521">
        <v>3235</v>
      </c>
      <c r="E263" s="522" t="s">
        <v>88</v>
      </c>
      <c r="F263" s="523" t="s">
        <v>686</v>
      </c>
      <c r="G263" s="497">
        <f t="shared" si="56"/>
        <v>60000</v>
      </c>
      <c r="H263" s="498">
        <f t="shared" si="56"/>
        <v>55593</v>
      </c>
      <c r="I263" s="499">
        <f t="shared" si="56"/>
        <v>50500</v>
      </c>
      <c r="J263" s="500"/>
      <c r="K263" s="501"/>
      <c r="L263" s="502"/>
      <c r="M263" s="503"/>
      <c r="N263" s="501"/>
      <c r="O263" s="504"/>
      <c r="P263" s="500"/>
      <c r="Q263" s="501"/>
      <c r="R263" s="502"/>
      <c r="S263" s="503"/>
      <c r="T263" s="501"/>
      <c r="U263" s="504"/>
      <c r="V263" s="500"/>
      <c r="W263" s="501"/>
      <c r="X263" s="502"/>
      <c r="Y263" s="505">
        <f t="shared" si="57"/>
        <v>0</v>
      </c>
      <c r="Z263" s="506">
        <f t="shared" si="57"/>
        <v>0</v>
      </c>
      <c r="AA263" s="507">
        <f t="shared" si="57"/>
        <v>0</v>
      </c>
      <c r="AB263" s="500"/>
      <c r="AC263" s="501"/>
      <c r="AD263" s="502"/>
      <c r="AE263" s="503"/>
      <c r="AF263" s="501"/>
      <c r="AG263" s="504"/>
      <c r="AH263" s="500"/>
      <c r="AI263" s="501"/>
      <c r="AJ263" s="502"/>
      <c r="AK263" s="503"/>
      <c r="AL263" s="501"/>
      <c r="AM263" s="504"/>
      <c r="AN263" s="500">
        <f>30000+30000</f>
        <v>60000</v>
      </c>
      <c r="AO263" s="501">
        <f>30000+25593</f>
        <v>55593</v>
      </c>
      <c r="AP263" s="502">
        <f>30000+20500</f>
        <v>50500</v>
      </c>
      <c r="AQ263" s="503"/>
      <c r="AR263" s="501"/>
      <c r="AS263" s="504"/>
      <c r="AT263" s="500"/>
      <c r="AU263" s="501"/>
      <c r="AV263" s="502"/>
      <c r="AW263" s="503"/>
      <c r="AX263" s="501"/>
      <c r="AY263" s="504"/>
      <c r="AZ263" s="500"/>
      <c r="BA263" s="501"/>
      <c r="BB263" s="502"/>
      <c r="BC263" s="503"/>
      <c r="BD263" s="501"/>
      <c r="BE263" s="504"/>
      <c r="BF263" s="500"/>
      <c r="BG263" s="501"/>
      <c r="BH263" s="502"/>
      <c r="BI263" s="503"/>
      <c r="BJ263" s="501"/>
      <c r="BK263" s="504"/>
      <c r="BL263" s="500"/>
      <c r="BM263" s="501"/>
      <c r="BN263" s="502"/>
      <c r="BO263" s="503"/>
      <c r="BP263" s="501"/>
      <c r="BQ263" s="504"/>
      <c r="BR263" s="513">
        <f t="shared" si="58"/>
        <v>60000</v>
      </c>
      <c r="BS263" s="514">
        <f t="shared" si="58"/>
        <v>55593</v>
      </c>
      <c r="BT263" s="515">
        <f t="shared" si="58"/>
        <v>50500</v>
      </c>
      <c r="BU263" s="516"/>
      <c r="BV263" s="517"/>
      <c r="BW263" s="518"/>
    </row>
    <row r="264" spans="1:75" s="598" customFormat="1" ht="24">
      <c r="A264" s="519" t="s">
        <v>49</v>
      </c>
      <c r="B264" s="520">
        <v>61</v>
      </c>
      <c r="C264" s="520" t="s">
        <v>40</v>
      </c>
      <c r="D264" s="521">
        <v>3237</v>
      </c>
      <c r="E264" s="522" t="s">
        <v>62</v>
      </c>
      <c r="F264" s="523" t="s">
        <v>686</v>
      </c>
      <c r="G264" s="497">
        <f t="shared" si="56"/>
        <v>113935</v>
      </c>
      <c r="H264" s="498">
        <f t="shared" si="56"/>
        <v>35000</v>
      </c>
      <c r="I264" s="499">
        <f t="shared" si="56"/>
        <v>35000</v>
      </c>
      <c r="J264" s="631"/>
      <c r="K264" s="632"/>
      <c r="L264" s="633"/>
      <c r="M264" s="634"/>
      <c r="N264" s="632"/>
      <c r="O264" s="635"/>
      <c r="P264" s="631"/>
      <c r="Q264" s="632"/>
      <c r="R264" s="633"/>
      <c r="S264" s="634"/>
      <c r="T264" s="632"/>
      <c r="U264" s="635"/>
      <c r="V264" s="631"/>
      <c r="W264" s="632"/>
      <c r="X264" s="633"/>
      <c r="Y264" s="505">
        <f t="shared" si="57"/>
        <v>0</v>
      </c>
      <c r="Z264" s="506">
        <f t="shared" si="57"/>
        <v>0</v>
      </c>
      <c r="AA264" s="507">
        <f t="shared" si="57"/>
        <v>0</v>
      </c>
      <c r="AB264" s="631"/>
      <c r="AC264" s="632"/>
      <c r="AD264" s="633"/>
      <c r="AE264" s="634"/>
      <c r="AF264" s="632"/>
      <c r="AG264" s="635"/>
      <c r="AH264" s="631"/>
      <c r="AI264" s="632"/>
      <c r="AJ264" s="633"/>
      <c r="AK264" s="634"/>
      <c r="AL264" s="632"/>
      <c r="AM264" s="635"/>
      <c r="AN264" s="615">
        <f>25000+110407+110000-131472</f>
        <v>113935</v>
      </c>
      <c r="AO264" s="616">
        <f>25000+10000</f>
        <v>35000</v>
      </c>
      <c r="AP264" s="617">
        <f>25000+10000</f>
        <v>35000</v>
      </c>
      <c r="AQ264" s="634"/>
      <c r="AR264" s="632"/>
      <c r="AS264" s="635"/>
      <c r="AT264" s="631"/>
      <c r="AU264" s="632"/>
      <c r="AV264" s="633"/>
      <c r="AW264" s="634"/>
      <c r="AX264" s="632"/>
      <c r="AY264" s="635"/>
      <c r="AZ264" s="631"/>
      <c r="BA264" s="632"/>
      <c r="BB264" s="633"/>
      <c r="BC264" s="634"/>
      <c r="BD264" s="632"/>
      <c r="BE264" s="635"/>
      <c r="BF264" s="631"/>
      <c r="BG264" s="632"/>
      <c r="BH264" s="633"/>
      <c r="BI264" s="634"/>
      <c r="BJ264" s="632"/>
      <c r="BK264" s="635"/>
      <c r="BL264" s="631"/>
      <c r="BM264" s="632"/>
      <c r="BN264" s="633"/>
      <c r="BO264" s="634"/>
      <c r="BP264" s="632"/>
      <c r="BQ264" s="635"/>
      <c r="BR264" s="513">
        <f t="shared" si="58"/>
        <v>113935</v>
      </c>
      <c r="BS264" s="514">
        <f t="shared" si="58"/>
        <v>35000</v>
      </c>
      <c r="BT264" s="515">
        <f t="shared" si="58"/>
        <v>35000</v>
      </c>
      <c r="BU264" s="636"/>
      <c r="BV264" s="637"/>
      <c r="BW264" s="638"/>
    </row>
    <row r="265" spans="1:75">
      <c r="A265" s="519" t="s">
        <v>49</v>
      </c>
      <c r="B265" s="520">
        <v>61</v>
      </c>
      <c r="C265" s="520" t="s">
        <v>40</v>
      </c>
      <c r="D265" s="521">
        <v>3239</v>
      </c>
      <c r="E265" s="522" t="s">
        <v>66</v>
      </c>
      <c r="F265" s="523" t="s">
        <v>686</v>
      </c>
      <c r="G265" s="497">
        <f t="shared" si="56"/>
        <v>44500</v>
      </c>
      <c r="H265" s="498">
        <f t="shared" si="56"/>
        <v>27500</v>
      </c>
      <c r="I265" s="499">
        <f t="shared" si="56"/>
        <v>27500</v>
      </c>
      <c r="J265" s="500"/>
      <c r="K265" s="501"/>
      <c r="L265" s="502"/>
      <c r="M265" s="503"/>
      <c r="N265" s="501"/>
      <c r="O265" s="504"/>
      <c r="P265" s="500"/>
      <c r="Q265" s="501"/>
      <c r="R265" s="502"/>
      <c r="S265" s="503"/>
      <c r="T265" s="501"/>
      <c r="U265" s="504"/>
      <c r="V265" s="500"/>
      <c r="W265" s="501"/>
      <c r="X265" s="502"/>
      <c r="Y265" s="505">
        <f t="shared" si="57"/>
        <v>0</v>
      </c>
      <c r="Z265" s="506">
        <f t="shared" si="57"/>
        <v>0</v>
      </c>
      <c r="AA265" s="507">
        <f t="shared" si="57"/>
        <v>0</v>
      </c>
      <c r="AB265" s="500"/>
      <c r="AC265" s="501"/>
      <c r="AD265" s="502"/>
      <c r="AE265" s="503"/>
      <c r="AF265" s="501"/>
      <c r="AG265" s="504"/>
      <c r="AH265" s="500"/>
      <c r="AI265" s="501"/>
      <c r="AJ265" s="502"/>
      <c r="AK265" s="503"/>
      <c r="AL265" s="501"/>
      <c r="AM265" s="504"/>
      <c r="AN265" s="500">
        <f>15000+15000</f>
        <v>30000</v>
      </c>
      <c r="AO265" s="501">
        <f>10000+15000</f>
        <v>25000</v>
      </c>
      <c r="AP265" s="502">
        <f>10000+15000</f>
        <v>25000</v>
      </c>
      <c r="AQ265" s="503"/>
      <c r="AR265" s="501"/>
      <c r="AS265" s="504"/>
      <c r="AT265" s="500"/>
      <c r="AU265" s="501"/>
      <c r="AV265" s="502"/>
      <c r="AW265" s="503"/>
      <c r="AX265" s="501"/>
      <c r="AY265" s="504"/>
      <c r="AZ265" s="500"/>
      <c r="BA265" s="501"/>
      <c r="BB265" s="502"/>
      <c r="BC265" s="503"/>
      <c r="BD265" s="501"/>
      <c r="BE265" s="504"/>
      <c r="BF265" s="500">
        <v>2500</v>
      </c>
      <c r="BG265" s="501">
        <v>2500</v>
      </c>
      <c r="BH265" s="502">
        <v>2500</v>
      </c>
      <c r="BI265" s="503">
        <v>12000</v>
      </c>
      <c r="BJ265" s="501"/>
      <c r="BK265" s="504"/>
      <c r="BL265" s="500"/>
      <c r="BM265" s="501"/>
      <c r="BN265" s="502"/>
      <c r="BO265" s="503"/>
      <c r="BP265" s="501"/>
      <c r="BQ265" s="504"/>
      <c r="BR265" s="513">
        <f t="shared" si="58"/>
        <v>44500</v>
      </c>
      <c r="BS265" s="514">
        <f t="shared" si="58"/>
        <v>27500</v>
      </c>
      <c r="BT265" s="515">
        <f t="shared" si="58"/>
        <v>27500</v>
      </c>
      <c r="BU265" s="516"/>
      <c r="BV265" s="517"/>
      <c r="BW265" s="518"/>
    </row>
    <row r="266" spans="1:75" s="598" customFormat="1">
      <c r="A266" s="519" t="s">
        <v>49</v>
      </c>
      <c r="B266" s="520">
        <v>61</v>
      </c>
      <c r="C266" s="520" t="s">
        <v>40</v>
      </c>
      <c r="D266" s="521">
        <v>3293</v>
      </c>
      <c r="E266" s="522" t="s">
        <v>68</v>
      </c>
      <c r="F266" s="523" t="s">
        <v>686</v>
      </c>
      <c r="G266" s="497">
        <f t="shared" si="56"/>
        <v>10000</v>
      </c>
      <c r="H266" s="498">
        <f t="shared" si="56"/>
        <v>5000</v>
      </c>
      <c r="I266" s="499">
        <f t="shared" si="56"/>
        <v>5000</v>
      </c>
      <c r="J266" s="631"/>
      <c r="K266" s="632"/>
      <c r="L266" s="633"/>
      <c r="M266" s="634"/>
      <c r="N266" s="632"/>
      <c r="O266" s="635"/>
      <c r="P266" s="631"/>
      <c r="Q266" s="632"/>
      <c r="R266" s="633"/>
      <c r="S266" s="634"/>
      <c r="T266" s="632"/>
      <c r="U266" s="635"/>
      <c r="V266" s="631"/>
      <c r="W266" s="632"/>
      <c r="X266" s="633"/>
      <c r="Y266" s="505">
        <f t="shared" si="57"/>
        <v>0</v>
      </c>
      <c r="Z266" s="506">
        <f t="shared" si="57"/>
        <v>0</v>
      </c>
      <c r="AA266" s="507">
        <f t="shared" si="57"/>
        <v>0</v>
      </c>
      <c r="AB266" s="631"/>
      <c r="AC266" s="632"/>
      <c r="AD266" s="633"/>
      <c r="AE266" s="634"/>
      <c r="AF266" s="632"/>
      <c r="AG266" s="635"/>
      <c r="AH266" s="631"/>
      <c r="AI266" s="632"/>
      <c r="AJ266" s="633"/>
      <c r="AK266" s="634"/>
      <c r="AL266" s="632"/>
      <c r="AM266" s="635"/>
      <c r="AN266" s="631"/>
      <c r="AO266" s="632"/>
      <c r="AP266" s="633"/>
      <c r="AQ266" s="634"/>
      <c r="AR266" s="632"/>
      <c r="AS266" s="635"/>
      <c r="AT266" s="631"/>
      <c r="AU266" s="632"/>
      <c r="AV266" s="633"/>
      <c r="AW266" s="634"/>
      <c r="AX266" s="632"/>
      <c r="AY266" s="635"/>
      <c r="AZ266" s="631"/>
      <c r="BA266" s="632"/>
      <c r="BB266" s="633"/>
      <c r="BC266" s="634"/>
      <c r="BD266" s="632"/>
      <c r="BE266" s="635"/>
      <c r="BF266" s="615">
        <v>5000</v>
      </c>
      <c r="BG266" s="616">
        <v>5000</v>
      </c>
      <c r="BH266" s="617">
        <v>5000</v>
      </c>
      <c r="BI266" s="618">
        <v>5000</v>
      </c>
      <c r="BJ266" s="632"/>
      <c r="BK266" s="635"/>
      <c r="BL266" s="631"/>
      <c r="BM266" s="632"/>
      <c r="BN266" s="633"/>
      <c r="BO266" s="634"/>
      <c r="BP266" s="632"/>
      <c r="BQ266" s="635"/>
      <c r="BR266" s="513">
        <f t="shared" si="58"/>
        <v>10000</v>
      </c>
      <c r="BS266" s="514">
        <f t="shared" si="58"/>
        <v>5000</v>
      </c>
      <c r="BT266" s="515">
        <f t="shared" si="58"/>
        <v>5000</v>
      </c>
      <c r="BU266" s="636"/>
      <c r="BV266" s="637"/>
      <c r="BW266" s="638"/>
    </row>
    <row r="267" spans="1:75" ht="36">
      <c r="A267" s="519" t="s">
        <v>49</v>
      </c>
      <c r="B267" s="520">
        <v>61</v>
      </c>
      <c r="C267" s="520" t="s">
        <v>40</v>
      </c>
      <c r="D267" s="521">
        <v>3299</v>
      </c>
      <c r="E267" s="522" t="s">
        <v>819</v>
      </c>
      <c r="F267" s="523" t="s">
        <v>686</v>
      </c>
      <c r="G267" s="497">
        <f t="shared" si="56"/>
        <v>2500</v>
      </c>
      <c r="H267" s="498">
        <f t="shared" si="56"/>
        <v>2500</v>
      </c>
      <c r="I267" s="499">
        <f t="shared" si="56"/>
        <v>2500</v>
      </c>
      <c r="J267" s="500"/>
      <c r="K267" s="501"/>
      <c r="L267" s="502"/>
      <c r="M267" s="503"/>
      <c r="N267" s="501"/>
      <c r="O267" s="504"/>
      <c r="P267" s="500"/>
      <c r="Q267" s="501"/>
      <c r="R267" s="502"/>
      <c r="S267" s="503"/>
      <c r="T267" s="501"/>
      <c r="U267" s="504"/>
      <c r="V267" s="500"/>
      <c r="W267" s="501"/>
      <c r="X267" s="502"/>
      <c r="Y267" s="505">
        <f t="shared" si="57"/>
        <v>0</v>
      </c>
      <c r="Z267" s="506">
        <f t="shared" si="57"/>
        <v>0</v>
      </c>
      <c r="AA267" s="507">
        <f t="shared" si="57"/>
        <v>0</v>
      </c>
      <c r="AB267" s="500"/>
      <c r="AC267" s="501"/>
      <c r="AD267" s="502"/>
      <c r="AE267" s="503"/>
      <c r="AF267" s="501"/>
      <c r="AG267" s="504"/>
      <c r="AH267" s="500"/>
      <c r="AI267" s="501"/>
      <c r="AJ267" s="502"/>
      <c r="AK267" s="503"/>
      <c r="AL267" s="501"/>
      <c r="AM267" s="504"/>
      <c r="AN267" s="500"/>
      <c r="AO267" s="501"/>
      <c r="AP267" s="502"/>
      <c r="AQ267" s="503"/>
      <c r="AR267" s="501"/>
      <c r="AS267" s="504"/>
      <c r="AT267" s="500"/>
      <c r="AU267" s="501"/>
      <c r="AV267" s="502"/>
      <c r="AW267" s="503"/>
      <c r="AX267" s="501"/>
      <c r="AY267" s="504"/>
      <c r="AZ267" s="500"/>
      <c r="BA267" s="501"/>
      <c r="BB267" s="502"/>
      <c r="BC267" s="503"/>
      <c r="BD267" s="501"/>
      <c r="BE267" s="504"/>
      <c r="BF267" s="500">
        <v>2500</v>
      </c>
      <c r="BG267" s="501">
        <v>2500</v>
      </c>
      <c r="BH267" s="502">
        <v>2500</v>
      </c>
      <c r="BI267" s="503"/>
      <c r="BJ267" s="501"/>
      <c r="BK267" s="504"/>
      <c r="BL267" s="500"/>
      <c r="BM267" s="501"/>
      <c r="BN267" s="502"/>
      <c r="BO267" s="503"/>
      <c r="BP267" s="501"/>
      <c r="BQ267" s="504"/>
      <c r="BR267" s="513">
        <f t="shared" si="58"/>
        <v>2500</v>
      </c>
      <c r="BS267" s="514">
        <f t="shared" si="58"/>
        <v>2500</v>
      </c>
      <c r="BT267" s="515">
        <f t="shared" si="58"/>
        <v>2500</v>
      </c>
      <c r="BU267" s="516"/>
      <c r="BV267" s="517"/>
      <c r="BW267" s="518"/>
    </row>
    <row r="268" spans="1:75" ht="36">
      <c r="A268" s="519" t="s">
        <v>49</v>
      </c>
      <c r="B268" s="520">
        <v>61</v>
      </c>
      <c r="C268" s="520" t="s">
        <v>40</v>
      </c>
      <c r="D268" s="521">
        <v>3431</v>
      </c>
      <c r="E268" s="522" t="s">
        <v>70</v>
      </c>
      <c r="F268" s="523" t="s">
        <v>686</v>
      </c>
      <c r="G268" s="497">
        <f t="shared" si="56"/>
        <v>1000</v>
      </c>
      <c r="H268" s="498">
        <f t="shared" si="56"/>
        <v>1000</v>
      </c>
      <c r="I268" s="499">
        <f t="shared" si="56"/>
        <v>1000</v>
      </c>
      <c r="J268" s="500"/>
      <c r="K268" s="501"/>
      <c r="L268" s="502"/>
      <c r="M268" s="503"/>
      <c r="N268" s="501"/>
      <c r="O268" s="504"/>
      <c r="P268" s="500"/>
      <c r="Q268" s="501"/>
      <c r="R268" s="502"/>
      <c r="S268" s="503"/>
      <c r="T268" s="501"/>
      <c r="U268" s="504"/>
      <c r="V268" s="500"/>
      <c r="W268" s="501"/>
      <c r="X268" s="502"/>
      <c r="Y268" s="505">
        <f t="shared" si="57"/>
        <v>0</v>
      </c>
      <c r="Z268" s="506">
        <f t="shared" si="57"/>
        <v>0</v>
      </c>
      <c r="AA268" s="507">
        <f t="shared" si="57"/>
        <v>0</v>
      </c>
      <c r="AB268" s="500"/>
      <c r="AC268" s="501"/>
      <c r="AD268" s="502"/>
      <c r="AE268" s="503"/>
      <c r="AF268" s="501"/>
      <c r="AG268" s="504"/>
      <c r="AH268" s="500"/>
      <c r="AI268" s="501"/>
      <c r="AJ268" s="502"/>
      <c r="AK268" s="503"/>
      <c r="AL268" s="501"/>
      <c r="AM268" s="504"/>
      <c r="AN268" s="500">
        <f>500+500</f>
        <v>1000</v>
      </c>
      <c r="AO268" s="501">
        <f>500+500</f>
        <v>1000</v>
      </c>
      <c r="AP268" s="502">
        <f>500+500</f>
        <v>1000</v>
      </c>
      <c r="AQ268" s="503"/>
      <c r="AR268" s="501"/>
      <c r="AS268" s="504"/>
      <c r="AT268" s="500"/>
      <c r="AU268" s="501"/>
      <c r="AV268" s="502"/>
      <c r="AW268" s="503"/>
      <c r="AX268" s="501"/>
      <c r="AY268" s="504"/>
      <c r="AZ268" s="500"/>
      <c r="BA268" s="501"/>
      <c r="BB268" s="502"/>
      <c r="BC268" s="503"/>
      <c r="BD268" s="501"/>
      <c r="BE268" s="504"/>
      <c r="BF268" s="500"/>
      <c r="BG268" s="501"/>
      <c r="BH268" s="502"/>
      <c r="BI268" s="503"/>
      <c r="BJ268" s="501"/>
      <c r="BK268" s="504"/>
      <c r="BL268" s="500"/>
      <c r="BM268" s="501"/>
      <c r="BN268" s="502"/>
      <c r="BO268" s="503"/>
      <c r="BP268" s="501"/>
      <c r="BQ268" s="504"/>
      <c r="BR268" s="513">
        <f t="shared" si="58"/>
        <v>1000</v>
      </c>
      <c r="BS268" s="514">
        <f t="shared" si="58"/>
        <v>1000</v>
      </c>
      <c r="BT268" s="515">
        <f t="shared" si="58"/>
        <v>1000</v>
      </c>
      <c r="BU268" s="516"/>
      <c r="BV268" s="517"/>
      <c r="BW268" s="518"/>
    </row>
    <row r="269" spans="1:75" s="598" customFormat="1" ht="24">
      <c r="A269" s="519" t="s">
        <v>49</v>
      </c>
      <c r="B269" s="520">
        <v>61</v>
      </c>
      <c r="C269" s="520" t="s">
        <v>40</v>
      </c>
      <c r="D269" s="521">
        <v>4221</v>
      </c>
      <c r="E269" s="522" t="s">
        <v>63</v>
      </c>
      <c r="F269" s="523" t="s">
        <v>686</v>
      </c>
      <c r="G269" s="497">
        <f t="shared" si="56"/>
        <v>215000</v>
      </c>
      <c r="H269" s="498">
        <f t="shared" si="56"/>
        <v>75000</v>
      </c>
      <c r="I269" s="499">
        <f t="shared" si="56"/>
        <v>75000</v>
      </c>
      <c r="J269" s="631"/>
      <c r="K269" s="632"/>
      <c r="L269" s="633"/>
      <c r="M269" s="634"/>
      <c r="N269" s="632"/>
      <c r="O269" s="635"/>
      <c r="P269" s="631"/>
      <c r="Q269" s="632"/>
      <c r="R269" s="633"/>
      <c r="S269" s="634"/>
      <c r="T269" s="632"/>
      <c r="U269" s="635"/>
      <c r="V269" s="631"/>
      <c r="W269" s="632"/>
      <c r="X269" s="633"/>
      <c r="Y269" s="505">
        <f t="shared" si="57"/>
        <v>0</v>
      </c>
      <c r="Z269" s="506">
        <f t="shared" si="57"/>
        <v>0</v>
      </c>
      <c r="AA269" s="507">
        <f t="shared" si="57"/>
        <v>0</v>
      </c>
      <c r="AB269" s="631"/>
      <c r="AC269" s="632"/>
      <c r="AD269" s="633"/>
      <c r="AE269" s="618"/>
      <c r="AF269" s="616"/>
      <c r="AG269" s="619"/>
      <c r="AH269" s="631"/>
      <c r="AI269" s="632"/>
      <c r="AJ269" s="633"/>
      <c r="AK269" s="634"/>
      <c r="AL269" s="632"/>
      <c r="AM269" s="635"/>
      <c r="AN269" s="615">
        <f>140000+50000</f>
        <v>190000</v>
      </c>
      <c r="AO269" s="616">
        <v>50000</v>
      </c>
      <c r="AP269" s="617">
        <v>50000</v>
      </c>
      <c r="AQ269" s="634"/>
      <c r="AR269" s="632"/>
      <c r="AS269" s="635"/>
      <c r="AT269" s="631"/>
      <c r="AU269" s="632"/>
      <c r="AV269" s="633"/>
      <c r="AW269" s="634"/>
      <c r="AX269" s="632"/>
      <c r="AY269" s="635"/>
      <c r="AZ269" s="631"/>
      <c r="BA269" s="632"/>
      <c r="BB269" s="633"/>
      <c r="BC269" s="634"/>
      <c r="BD269" s="632"/>
      <c r="BE269" s="635"/>
      <c r="BF269" s="615">
        <v>25000</v>
      </c>
      <c r="BG269" s="616">
        <v>25000</v>
      </c>
      <c r="BH269" s="617">
        <v>25000</v>
      </c>
      <c r="BI269" s="634"/>
      <c r="BJ269" s="632"/>
      <c r="BK269" s="635"/>
      <c r="BL269" s="631"/>
      <c r="BM269" s="632"/>
      <c r="BN269" s="633"/>
      <c r="BO269" s="634"/>
      <c r="BP269" s="632"/>
      <c r="BQ269" s="635"/>
      <c r="BR269" s="513">
        <f t="shared" si="58"/>
        <v>215000</v>
      </c>
      <c r="BS269" s="514">
        <f t="shared" si="58"/>
        <v>75000</v>
      </c>
      <c r="BT269" s="515">
        <f t="shared" si="58"/>
        <v>75000</v>
      </c>
      <c r="BU269" s="636"/>
      <c r="BV269" s="637"/>
      <c r="BW269" s="638"/>
    </row>
    <row r="270" spans="1:75" ht="36">
      <c r="A270" s="519" t="s">
        <v>49</v>
      </c>
      <c r="B270" s="520">
        <v>61</v>
      </c>
      <c r="C270" s="520" t="s">
        <v>40</v>
      </c>
      <c r="D270" s="521">
        <v>4224</v>
      </c>
      <c r="E270" s="522" t="s">
        <v>73</v>
      </c>
      <c r="F270" s="523" t="s">
        <v>686</v>
      </c>
      <c r="G270" s="497">
        <f t="shared" si="56"/>
        <v>200000</v>
      </c>
      <c r="H270" s="498">
        <f t="shared" si="56"/>
        <v>110000</v>
      </c>
      <c r="I270" s="499">
        <f t="shared" si="56"/>
        <v>110000</v>
      </c>
      <c r="J270" s="500"/>
      <c r="K270" s="501"/>
      <c r="L270" s="502"/>
      <c r="M270" s="503"/>
      <c r="N270" s="501"/>
      <c r="O270" s="504"/>
      <c r="P270" s="500"/>
      <c r="Q270" s="501"/>
      <c r="R270" s="502"/>
      <c r="S270" s="503">
        <f>20000-20000</f>
        <v>0</v>
      </c>
      <c r="T270" s="501">
        <f>23984-23984</f>
        <v>0</v>
      </c>
      <c r="U270" s="504"/>
      <c r="V270" s="500"/>
      <c r="W270" s="501"/>
      <c r="X270" s="502"/>
      <c r="Y270" s="505">
        <f t="shared" si="57"/>
        <v>0</v>
      </c>
      <c r="Z270" s="506">
        <f t="shared" si="57"/>
        <v>0</v>
      </c>
      <c r="AA270" s="507">
        <f t="shared" si="57"/>
        <v>0</v>
      </c>
      <c r="AB270" s="500"/>
      <c r="AC270" s="501"/>
      <c r="AD270" s="502"/>
      <c r="AE270" s="503"/>
      <c r="AF270" s="501"/>
      <c r="AG270" s="504"/>
      <c r="AH270" s="500"/>
      <c r="AI270" s="501"/>
      <c r="AJ270" s="502"/>
      <c r="AK270" s="503"/>
      <c r="AL270" s="501"/>
      <c r="AM270" s="504"/>
      <c r="AN270" s="500">
        <f>100000+100000</f>
        <v>200000</v>
      </c>
      <c r="AO270" s="501">
        <f>100000+10000</f>
        <v>110000</v>
      </c>
      <c r="AP270" s="502">
        <f>100000+10000</f>
        <v>110000</v>
      </c>
      <c r="AQ270" s="503"/>
      <c r="AR270" s="501"/>
      <c r="AS270" s="504"/>
      <c r="AT270" s="500"/>
      <c r="AU270" s="501"/>
      <c r="AV270" s="502"/>
      <c r="AW270" s="503"/>
      <c r="AX270" s="501"/>
      <c r="AY270" s="504"/>
      <c r="AZ270" s="500"/>
      <c r="BA270" s="501"/>
      <c r="BB270" s="502"/>
      <c r="BC270" s="503"/>
      <c r="BD270" s="501"/>
      <c r="BE270" s="504"/>
      <c r="BF270" s="500"/>
      <c r="BG270" s="501"/>
      <c r="BH270" s="502"/>
      <c r="BI270" s="503"/>
      <c r="BJ270" s="501"/>
      <c r="BK270" s="504"/>
      <c r="BL270" s="500"/>
      <c r="BM270" s="501"/>
      <c r="BN270" s="502"/>
      <c r="BO270" s="503"/>
      <c r="BP270" s="501"/>
      <c r="BQ270" s="504"/>
      <c r="BR270" s="513">
        <f t="shared" si="58"/>
        <v>200000</v>
      </c>
      <c r="BS270" s="514">
        <f t="shared" si="58"/>
        <v>110000</v>
      </c>
      <c r="BT270" s="515">
        <f t="shared" si="58"/>
        <v>110000</v>
      </c>
      <c r="BU270" s="516"/>
      <c r="BV270" s="517"/>
      <c r="BW270" s="518"/>
    </row>
    <row r="271" spans="1:75" ht="12.75" thickBot="1">
      <c r="A271" s="524" t="s">
        <v>49</v>
      </c>
      <c r="B271" s="525">
        <v>61</v>
      </c>
      <c r="C271" s="525" t="s">
        <v>40</v>
      </c>
      <c r="D271" s="526">
        <v>4241</v>
      </c>
      <c r="E271" s="527" t="s">
        <v>74</v>
      </c>
      <c r="F271" s="528" t="s">
        <v>686</v>
      </c>
      <c r="G271" s="529">
        <f t="shared" si="56"/>
        <v>25004</v>
      </c>
      <c r="H271" s="530">
        <f t="shared" si="56"/>
        <v>50000</v>
      </c>
      <c r="I271" s="531">
        <f t="shared" si="56"/>
        <v>50000</v>
      </c>
      <c r="J271" s="532"/>
      <c r="K271" s="533"/>
      <c r="L271" s="534"/>
      <c r="M271" s="535"/>
      <c r="N271" s="533"/>
      <c r="O271" s="536"/>
      <c r="P271" s="532"/>
      <c r="Q271" s="533"/>
      <c r="R271" s="534"/>
      <c r="S271" s="535"/>
      <c r="T271" s="533"/>
      <c r="U271" s="536"/>
      <c r="V271" s="532"/>
      <c r="W271" s="533"/>
      <c r="X271" s="534"/>
      <c r="Y271" s="537">
        <f t="shared" si="57"/>
        <v>0</v>
      </c>
      <c r="Z271" s="538">
        <f t="shared" si="57"/>
        <v>0</v>
      </c>
      <c r="AA271" s="539">
        <f t="shared" si="57"/>
        <v>0</v>
      </c>
      <c r="AB271" s="532"/>
      <c r="AC271" s="533"/>
      <c r="AD271" s="534"/>
      <c r="AE271" s="535"/>
      <c r="AF271" s="533"/>
      <c r="AG271" s="536"/>
      <c r="AH271" s="532"/>
      <c r="AI271" s="533"/>
      <c r="AJ271" s="534"/>
      <c r="AK271" s="535"/>
      <c r="AL271" s="533"/>
      <c r="AM271" s="536"/>
      <c r="AN271" s="532"/>
      <c r="AO271" s="533"/>
      <c r="AP271" s="534"/>
      <c r="AQ271" s="535"/>
      <c r="AR271" s="533"/>
      <c r="AS271" s="536"/>
      <c r="AT271" s="532"/>
      <c r="AU271" s="533"/>
      <c r="AV271" s="534"/>
      <c r="AW271" s="535"/>
      <c r="AX271" s="533"/>
      <c r="AY271" s="536"/>
      <c r="AZ271" s="532"/>
      <c r="BA271" s="533"/>
      <c r="BB271" s="534"/>
      <c r="BC271" s="535"/>
      <c r="BD271" s="533"/>
      <c r="BE271" s="536"/>
      <c r="BF271" s="532"/>
      <c r="BG271" s="533"/>
      <c r="BH271" s="534"/>
      <c r="BI271" s="535"/>
      <c r="BJ271" s="533"/>
      <c r="BK271" s="536"/>
      <c r="BL271" s="532"/>
      <c r="BM271" s="533"/>
      <c r="BN271" s="534"/>
      <c r="BO271" s="535">
        <f>40000-14996</f>
        <v>25004</v>
      </c>
      <c r="BP271" s="533">
        <v>50000</v>
      </c>
      <c r="BQ271" s="536">
        <v>50000</v>
      </c>
      <c r="BR271" s="546">
        <f t="shared" si="58"/>
        <v>25004</v>
      </c>
      <c r="BS271" s="547">
        <f t="shared" si="58"/>
        <v>50000</v>
      </c>
      <c r="BT271" s="548">
        <f t="shared" si="58"/>
        <v>50000</v>
      </c>
      <c r="BU271" s="549"/>
      <c r="BV271" s="550"/>
      <c r="BW271" s="551"/>
    </row>
    <row r="272" spans="1:75" ht="12.75" thickBot="1">
      <c r="A272" s="581" t="s">
        <v>49</v>
      </c>
      <c r="B272" s="554">
        <v>61</v>
      </c>
      <c r="C272" s="554" t="s">
        <v>40</v>
      </c>
      <c r="D272" s="555"/>
      <c r="E272" s="556" t="s">
        <v>161</v>
      </c>
      <c r="F272" s="557" t="s">
        <v>686</v>
      </c>
      <c r="G272" s="558">
        <f t="shared" ref="G272:AL272" si="59">SUM(G254:G271)</f>
        <v>1508365</v>
      </c>
      <c r="H272" s="559">
        <f t="shared" si="59"/>
        <v>1482093</v>
      </c>
      <c r="I272" s="560">
        <f t="shared" si="59"/>
        <v>1445000</v>
      </c>
      <c r="J272" s="561">
        <f t="shared" si="59"/>
        <v>0</v>
      </c>
      <c r="K272" s="559">
        <f t="shared" si="59"/>
        <v>0</v>
      </c>
      <c r="L272" s="562">
        <f t="shared" si="59"/>
        <v>0</v>
      </c>
      <c r="M272" s="558">
        <f t="shared" si="59"/>
        <v>0</v>
      </c>
      <c r="N272" s="559">
        <f t="shared" si="59"/>
        <v>0</v>
      </c>
      <c r="O272" s="560">
        <f t="shared" si="59"/>
        <v>0</v>
      </c>
      <c r="P272" s="561">
        <f t="shared" si="59"/>
        <v>0</v>
      </c>
      <c r="Q272" s="559">
        <f t="shared" si="59"/>
        <v>0</v>
      </c>
      <c r="R272" s="562">
        <f t="shared" si="59"/>
        <v>0</v>
      </c>
      <c r="S272" s="558">
        <f t="shared" si="59"/>
        <v>0</v>
      </c>
      <c r="T272" s="559">
        <f t="shared" si="59"/>
        <v>0</v>
      </c>
      <c r="U272" s="560">
        <f t="shared" si="59"/>
        <v>0</v>
      </c>
      <c r="V272" s="561">
        <f t="shared" si="59"/>
        <v>0</v>
      </c>
      <c r="W272" s="559">
        <f t="shared" si="59"/>
        <v>0</v>
      </c>
      <c r="X272" s="562">
        <f t="shared" si="59"/>
        <v>0</v>
      </c>
      <c r="Y272" s="558">
        <f t="shared" si="59"/>
        <v>0</v>
      </c>
      <c r="Z272" s="559">
        <f t="shared" si="59"/>
        <v>0</v>
      </c>
      <c r="AA272" s="560">
        <f t="shared" si="59"/>
        <v>0</v>
      </c>
      <c r="AB272" s="561">
        <f t="shared" si="59"/>
        <v>28130</v>
      </c>
      <c r="AC272" s="559">
        <f t="shared" si="59"/>
        <v>45000</v>
      </c>
      <c r="AD272" s="562">
        <f t="shared" si="59"/>
        <v>45000</v>
      </c>
      <c r="AE272" s="558">
        <f t="shared" si="59"/>
        <v>66379</v>
      </c>
      <c r="AF272" s="559">
        <f t="shared" si="59"/>
        <v>0</v>
      </c>
      <c r="AG272" s="560">
        <f t="shared" si="59"/>
        <v>0</v>
      </c>
      <c r="AH272" s="561">
        <f t="shared" si="59"/>
        <v>0</v>
      </c>
      <c r="AI272" s="559">
        <f t="shared" si="59"/>
        <v>0</v>
      </c>
      <c r="AJ272" s="562">
        <f t="shared" si="59"/>
        <v>0</v>
      </c>
      <c r="AK272" s="558">
        <f t="shared" si="59"/>
        <v>0</v>
      </c>
      <c r="AL272" s="559">
        <f t="shared" si="59"/>
        <v>0</v>
      </c>
      <c r="AM272" s="560">
        <f t="shared" ref="AM272:BW272" si="60">SUM(AM254:AM271)</f>
        <v>0</v>
      </c>
      <c r="AN272" s="561">
        <f t="shared" si="60"/>
        <v>1127935</v>
      </c>
      <c r="AO272" s="559">
        <f t="shared" si="60"/>
        <v>1114593</v>
      </c>
      <c r="AP272" s="562">
        <f t="shared" si="60"/>
        <v>1109500</v>
      </c>
      <c r="AQ272" s="558">
        <f t="shared" si="60"/>
        <v>0</v>
      </c>
      <c r="AR272" s="559">
        <f t="shared" si="60"/>
        <v>0</v>
      </c>
      <c r="AS272" s="560">
        <f t="shared" si="60"/>
        <v>0</v>
      </c>
      <c r="AT272" s="561">
        <f t="shared" si="60"/>
        <v>0</v>
      </c>
      <c r="AU272" s="559">
        <f t="shared" si="60"/>
        <v>0</v>
      </c>
      <c r="AV272" s="562">
        <f t="shared" si="60"/>
        <v>0</v>
      </c>
      <c r="AW272" s="558">
        <f t="shared" si="60"/>
        <v>0</v>
      </c>
      <c r="AX272" s="559">
        <f t="shared" si="60"/>
        <v>0</v>
      </c>
      <c r="AY272" s="560">
        <f t="shared" si="60"/>
        <v>0</v>
      </c>
      <c r="AZ272" s="561">
        <f t="shared" si="60"/>
        <v>0</v>
      </c>
      <c r="BA272" s="559">
        <f t="shared" si="60"/>
        <v>0</v>
      </c>
      <c r="BB272" s="562">
        <f t="shared" si="60"/>
        <v>0</v>
      </c>
      <c r="BC272" s="558">
        <f t="shared" si="60"/>
        <v>0</v>
      </c>
      <c r="BD272" s="559">
        <f t="shared" si="60"/>
        <v>0</v>
      </c>
      <c r="BE272" s="560">
        <f t="shared" si="60"/>
        <v>0</v>
      </c>
      <c r="BF272" s="561">
        <f t="shared" si="60"/>
        <v>55884</v>
      </c>
      <c r="BG272" s="559">
        <f t="shared" si="60"/>
        <v>92000</v>
      </c>
      <c r="BH272" s="562">
        <f t="shared" si="60"/>
        <v>95000</v>
      </c>
      <c r="BI272" s="558">
        <f t="shared" si="60"/>
        <v>205033</v>
      </c>
      <c r="BJ272" s="559">
        <f t="shared" si="60"/>
        <v>180500</v>
      </c>
      <c r="BK272" s="560">
        <f t="shared" si="60"/>
        <v>145500</v>
      </c>
      <c r="BL272" s="561">
        <f t="shared" si="60"/>
        <v>0</v>
      </c>
      <c r="BM272" s="559">
        <f t="shared" si="60"/>
        <v>0</v>
      </c>
      <c r="BN272" s="562">
        <f t="shared" si="60"/>
        <v>0</v>
      </c>
      <c r="BO272" s="558">
        <f t="shared" si="60"/>
        <v>25004</v>
      </c>
      <c r="BP272" s="559">
        <f t="shared" si="60"/>
        <v>50000</v>
      </c>
      <c r="BQ272" s="560">
        <f t="shared" si="60"/>
        <v>50000</v>
      </c>
      <c r="BR272" s="561">
        <f t="shared" si="60"/>
        <v>1508365</v>
      </c>
      <c r="BS272" s="559">
        <f t="shared" si="60"/>
        <v>1482093</v>
      </c>
      <c r="BT272" s="562">
        <f t="shared" si="60"/>
        <v>1445000</v>
      </c>
      <c r="BU272" s="558">
        <f t="shared" si="60"/>
        <v>0</v>
      </c>
      <c r="BV272" s="559">
        <f t="shared" si="60"/>
        <v>0</v>
      </c>
      <c r="BW272" s="560">
        <f t="shared" si="60"/>
        <v>0</v>
      </c>
    </row>
    <row r="273" spans="1:75" ht="12.75" thickBot="1">
      <c r="A273" s="588" t="s">
        <v>49</v>
      </c>
      <c r="B273" s="589">
        <v>61</v>
      </c>
      <c r="C273" s="589" t="s">
        <v>40</v>
      </c>
      <c r="D273" s="590"/>
      <c r="E273" s="591" t="s">
        <v>737</v>
      </c>
      <c r="F273" s="592"/>
      <c r="G273" s="593">
        <f t="shared" ref="G273:BR273" si="61">G253+G272</f>
        <v>1813949</v>
      </c>
      <c r="H273" s="594">
        <f t="shared" si="61"/>
        <v>1979980</v>
      </c>
      <c r="I273" s="595">
        <f t="shared" si="61"/>
        <v>1445000</v>
      </c>
      <c r="J273" s="596">
        <f t="shared" si="61"/>
        <v>0</v>
      </c>
      <c r="K273" s="594">
        <f t="shared" si="61"/>
        <v>0</v>
      </c>
      <c r="L273" s="597">
        <f t="shared" si="61"/>
        <v>0</v>
      </c>
      <c r="M273" s="593">
        <f t="shared" si="61"/>
        <v>0</v>
      </c>
      <c r="N273" s="594">
        <f t="shared" si="61"/>
        <v>0</v>
      </c>
      <c r="O273" s="595">
        <f t="shared" si="61"/>
        <v>0</v>
      </c>
      <c r="P273" s="596">
        <f t="shared" si="61"/>
        <v>0</v>
      </c>
      <c r="Q273" s="594">
        <f t="shared" si="61"/>
        <v>0</v>
      </c>
      <c r="R273" s="597">
        <f t="shared" si="61"/>
        <v>0</v>
      </c>
      <c r="S273" s="593">
        <f t="shared" si="61"/>
        <v>0</v>
      </c>
      <c r="T273" s="594">
        <f t="shared" si="61"/>
        <v>0</v>
      </c>
      <c r="U273" s="595">
        <f t="shared" si="61"/>
        <v>0</v>
      </c>
      <c r="V273" s="596">
        <f t="shared" si="61"/>
        <v>0</v>
      </c>
      <c r="W273" s="594">
        <f t="shared" si="61"/>
        <v>0</v>
      </c>
      <c r="X273" s="597">
        <f t="shared" si="61"/>
        <v>0</v>
      </c>
      <c r="Y273" s="593">
        <f t="shared" si="61"/>
        <v>0</v>
      </c>
      <c r="Z273" s="594">
        <f t="shared" si="61"/>
        <v>0</v>
      </c>
      <c r="AA273" s="595">
        <f t="shared" si="61"/>
        <v>0</v>
      </c>
      <c r="AB273" s="596">
        <f t="shared" si="61"/>
        <v>28130</v>
      </c>
      <c r="AC273" s="594">
        <f t="shared" si="61"/>
        <v>45000</v>
      </c>
      <c r="AD273" s="597">
        <f t="shared" si="61"/>
        <v>45000</v>
      </c>
      <c r="AE273" s="593">
        <f t="shared" si="61"/>
        <v>66379</v>
      </c>
      <c r="AF273" s="594">
        <f t="shared" si="61"/>
        <v>0</v>
      </c>
      <c r="AG273" s="595">
        <f t="shared" si="61"/>
        <v>0</v>
      </c>
      <c r="AH273" s="596">
        <f t="shared" si="61"/>
        <v>77722</v>
      </c>
      <c r="AI273" s="594">
        <f t="shared" si="61"/>
        <v>190663</v>
      </c>
      <c r="AJ273" s="597">
        <f t="shared" si="61"/>
        <v>0</v>
      </c>
      <c r="AK273" s="593">
        <f t="shared" si="61"/>
        <v>0</v>
      </c>
      <c r="AL273" s="594">
        <f t="shared" si="61"/>
        <v>0</v>
      </c>
      <c r="AM273" s="595">
        <f t="shared" si="61"/>
        <v>0</v>
      </c>
      <c r="AN273" s="596">
        <f t="shared" si="61"/>
        <v>1127935</v>
      </c>
      <c r="AO273" s="594">
        <f t="shared" si="61"/>
        <v>1114593</v>
      </c>
      <c r="AP273" s="597">
        <f t="shared" si="61"/>
        <v>1109500</v>
      </c>
      <c r="AQ273" s="593">
        <f t="shared" si="61"/>
        <v>0</v>
      </c>
      <c r="AR273" s="594">
        <f t="shared" si="61"/>
        <v>0</v>
      </c>
      <c r="AS273" s="595">
        <f t="shared" si="61"/>
        <v>0</v>
      </c>
      <c r="AT273" s="596">
        <f t="shared" si="61"/>
        <v>0</v>
      </c>
      <c r="AU273" s="594">
        <f t="shared" si="61"/>
        <v>0</v>
      </c>
      <c r="AV273" s="597">
        <f t="shared" si="61"/>
        <v>0</v>
      </c>
      <c r="AW273" s="593">
        <f t="shared" si="61"/>
        <v>0</v>
      </c>
      <c r="AX273" s="594">
        <f t="shared" si="61"/>
        <v>0</v>
      </c>
      <c r="AY273" s="595">
        <f t="shared" si="61"/>
        <v>0</v>
      </c>
      <c r="AZ273" s="596">
        <f t="shared" si="61"/>
        <v>0</v>
      </c>
      <c r="BA273" s="594">
        <f t="shared" si="61"/>
        <v>0</v>
      </c>
      <c r="BB273" s="597">
        <f t="shared" si="61"/>
        <v>0</v>
      </c>
      <c r="BC273" s="593">
        <f t="shared" si="61"/>
        <v>0</v>
      </c>
      <c r="BD273" s="594">
        <f t="shared" si="61"/>
        <v>0</v>
      </c>
      <c r="BE273" s="595">
        <f t="shared" si="61"/>
        <v>0</v>
      </c>
      <c r="BF273" s="596">
        <f t="shared" si="61"/>
        <v>55884</v>
      </c>
      <c r="BG273" s="594">
        <f t="shared" si="61"/>
        <v>92000</v>
      </c>
      <c r="BH273" s="597">
        <f t="shared" si="61"/>
        <v>95000</v>
      </c>
      <c r="BI273" s="593">
        <f t="shared" si="61"/>
        <v>205033</v>
      </c>
      <c r="BJ273" s="594">
        <f t="shared" si="61"/>
        <v>180500</v>
      </c>
      <c r="BK273" s="595">
        <f t="shared" si="61"/>
        <v>145500</v>
      </c>
      <c r="BL273" s="596">
        <f t="shared" si="61"/>
        <v>227862</v>
      </c>
      <c r="BM273" s="594">
        <f t="shared" si="61"/>
        <v>307224</v>
      </c>
      <c r="BN273" s="597">
        <f t="shared" si="61"/>
        <v>0</v>
      </c>
      <c r="BO273" s="593">
        <f t="shared" si="61"/>
        <v>25004</v>
      </c>
      <c r="BP273" s="594">
        <f t="shared" si="61"/>
        <v>50000</v>
      </c>
      <c r="BQ273" s="595">
        <f t="shared" si="61"/>
        <v>50000</v>
      </c>
      <c r="BR273" s="596">
        <f t="shared" si="61"/>
        <v>1813949</v>
      </c>
      <c r="BS273" s="594">
        <f t="shared" ref="BS273:BW273" si="62">BS253+BS272</f>
        <v>1979980</v>
      </c>
      <c r="BT273" s="597">
        <f t="shared" si="62"/>
        <v>1445000</v>
      </c>
      <c r="BU273" s="593">
        <f t="shared" si="62"/>
        <v>0</v>
      </c>
      <c r="BV273" s="594">
        <f t="shared" si="62"/>
        <v>0</v>
      </c>
      <c r="BW273" s="595">
        <f t="shared" si="62"/>
        <v>0</v>
      </c>
    </row>
    <row r="274" spans="1:75" ht="12" customHeight="1">
      <c r="A274" s="470" t="s">
        <v>49</v>
      </c>
      <c r="B274" s="471">
        <v>71</v>
      </c>
      <c r="C274" s="471" t="s">
        <v>47</v>
      </c>
      <c r="D274" s="472">
        <v>4221</v>
      </c>
      <c r="E274" s="473" t="s">
        <v>63</v>
      </c>
      <c r="F274" s="474" t="s">
        <v>686</v>
      </c>
      <c r="G274" s="564">
        <f t="shared" ref="G274:I275" si="63">BR274+BU274</f>
        <v>13000</v>
      </c>
      <c r="H274" s="565">
        <f t="shared" si="63"/>
        <v>10500</v>
      </c>
      <c r="I274" s="566">
        <f t="shared" si="63"/>
        <v>10500</v>
      </c>
      <c r="J274" s="567"/>
      <c r="K274" s="568"/>
      <c r="L274" s="569"/>
      <c r="M274" s="570"/>
      <c r="N274" s="568"/>
      <c r="O274" s="571"/>
      <c r="P274" s="567"/>
      <c r="Q274" s="568"/>
      <c r="R274" s="569"/>
      <c r="S274" s="570"/>
      <c r="T274" s="568"/>
      <c r="U274" s="571"/>
      <c r="V274" s="567"/>
      <c r="W274" s="568"/>
      <c r="X274" s="569"/>
      <c r="Y274" s="572">
        <f t="shared" ref="Y274:AA275" si="64">J274+M274+P274+S274+V274</f>
        <v>0</v>
      </c>
      <c r="Z274" s="573">
        <f t="shared" si="64"/>
        <v>0</v>
      </c>
      <c r="AA274" s="574">
        <f t="shared" si="64"/>
        <v>0</v>
      </c>
      <c r="AB274" s="567"/>
      <c r="AC274" s="568"/>
      <c r="AD274" s="569"/>
      <c r="AE274" s="613">
        <v>8000</v>
      </c>
      <c r="AF274" s="611">
        <v>6000</v>
      </c>
      <c r="AG274" s="614">
        <v>6000</v>
      </c>
      <c r="AH274" s="567"/>
      <c r="AI274" s="568"/>
      <c r="AJ274" s="569"/>
      <c r="AK274" s="570"/>
      <c r="AL274" s="568"/>
      <c r="AM274" s="571"/>
      <c r="AN274" s="567"/>
      <c r="AO274" s="568"/>
      <c r="AP274" s="569"/>
      <c r="AQ274" s="570">
        <v>5000</v>
      </c>
      <c r="AR274" s="568">
        <v>4500</v>
      </c>
      <c r="AS274" s="571">
        <v>4500</v>
      </c>
      <c r="AT274" s="567"/>
      <c r="AU274" s="568"/>
      <c r="AV274" s="569"/>
      <c r="AW274" s="570"/>
      <c r="AX274" s="568"/>
      <c r="AY274" s="571"/>
      <c r="AZ274" s="567"/>
      <c r="BA274" s="568"/>
      <c r="BB274" s="569"/>
      <c r="BC274" s="570"/>
      <c r="BD274" s="568"/>
      <c r="BE274" s="571"/>
      <c r="BF274" s="567"/>
      <c r="BG274" s="568"/>
      <c r="BH274" s="569"/>
      <c r="BI274" s="570"/>
      <c r="BJ274" s="568"/>
      <c r="BK274" s="571"/>
      <c r="BL274" s="567"/>
      <c r="BM274" s="568"/>
      <c r="BN274" s="569"/>
      <c r="BO274" s="570"/>
      <c r="BP274" s="568"/>
      <c r="BQ274" s="571"/>
      <c r="BR274" s="575">
        <f t="shared" ref="BR274:BT275" si="65">AB274+AE274+AH274+AK274+AN274+AQ274+AT274+AW274+AZ274+BC274+BF274+BI274+BL274+BO274+Y274</f>
        <v>13000</v>
      </c>
      <c r="BS274" s="576">
        <f t="shared" si="65"/>
        <v>10500</v>
      </c>
      <c r="BT274" s="577">
        <f t="shared" si="65"/>
        <v>10500</v>
      </c>
      <c r="BU274" s="578"/>
      <c r="BV274" s="579"/>
      <c r="BW274" s="580"/>
    </row>
    <row r="275" spans="1:75" ht="17.25" customHeight="1" thickBot="1">
      <c r="A275" s="524" t="s">
        <v>49</v>
      </c>
      <c r="B275" s="525">
        <v>71</v>
      </c>
      <c r="C275" s="525" t="s">
        <v>47</v>
      </c>
      <c r="D275" s="526">
        <v>4241</v>
      </c>
      <c r="E275" s="527" t="s">
        <v>74</v>
      </c>
      <c r="F275" s="528" t="s">
        <v>686</v>
      </c>
      <c r="G275" s="529">
        <f t="shared" si="63"/>
        <v>4700</v>
      </c>
      <c r="H275" s="530">
        <f t="shared" si="63"/>
        <v>4700</v>
      </c>
      <c r="I275" s="531">
        <f t="shared" si="63"/>
        <v>4700</v>
      </c>
      <c r="J275" s="532"/>
      <c r="K275" s="533"/>
      <c r="L275" s="534"/>
      <c r="M275" s="535"/>
      <c r="N275" s="533"/>
      <c r="O275" s="536"/>
      <c r="P275" s="532"/>
      <c r="Q275" s="533"/>
      <c r="R275" s="534"/>
      <c r="S275" s="535"/>
      <c r="T275" s="533"/>
      <c r="U275" s="536"/>
      <c r="V275" s="532"/>
      <c r="W275" s="533"/>
      <c r="X275" s="534"/>
      <c r="Y275" s="537">
        <f t="shared" si="64"/>
        <v>0</v>
      </c>
      <c r="Z275" s="538">
        <f t="shared" si="64"/>
        <v>0</v>
      </c>
      <c r="AA275" s="539">
        <f t="shared" si="64"/>
        <v>0</v>
      </c>
      <c r="AB275" s="532"/>
      <c r="AC275" s="533"/>
      <c r="AD275" s="534"/>
      <c r="AE275" s="535"/>
      <c r="AF275" s="533"/>
      <c r="AG275" s="536"/>
      <c r="AH275" s="532"/>
      <c r="AI275" s="533"/>
      <c r="AJ275" s="534"/>
      <c r="AK275" s="535"/>
      <c r="AL275" s="533"/>
      <c r="AM275" s="536"/>
      <c r="AN275" s="532">
        <v>2000</v>
      </c>
      <c r="AO275" s="533">
        <v>2000</v>
      </c>
      <c r="AP275" s="534">
        <v>2000</v>
      </c>
      <c r="AQ275" s="535"/>
      <c r="AR275" s="533"/>
      <c r="AS275" s="536"/>
      <c r="AT275" s="532"/>
      <c r="AU275" s="533"/>
      <c r="AV275" s="534"/>
      <c r="AW275" s="535"/>
      <c r="AX275" s="533"/>
      <c r="AY275" s="536"/>
      <c r="AZ275" s="532"/>
      <c r="BA275" s="533"/>
      <c r="BB275" s="534"/>
      <c r="BC275" s="535"/>
      <c r="BD275" s="533"/>
      <c r="BE275" s="536"/>
      <c r="BF275" s="532"/>
      <c r="BG275" s="533"/>
      <c r="BH275" s="534"/>
      <c r="BI275" s="535"/>
      <c r="BJ275" s="533"/>
      <c r="BK275" s="536"/>
      <c r="BL275" s="532">
        <v>2700</v>
      </c>
      <c r="BM275" s="533">
        <v>2700</v>
      </c>
      <c r="BN275" s="534">
        <v>2700</v>
      </c>
      <c r="BO275" s="535"/>
      <c r="BP275" s="533"/>
      <c r="BQ275" s="536"/>
      <c r="BR275" s="546">
        <f t="shared" si="65"/>
        <v>4700</v>
      </c>
      <c r="BS275" s="547">
        <f t="shared" si="65"/>
        <v>4700</v>
      </c>
      <c r="BT275" s="548">
        <f t="shared" si="65"/>
        <v>4700</v>
      </c>
      <c r="BU275" s="549"/>
      <c r="BV275" s="550"/>
      <c r="BW275" s="551"/>
    </row>
    <row r="276" spans="1:75" ht="12" customHeight="1" thickBot="1">
      <c r="A276" s="588" t="s">
        <v>49</v>
      </c>
      <c r="B276" s="589">
        <v>71</v>
      </c>
      <c r="C276" s="589" t="s">
        <v>47</v>
      </c>
      <c r="D276" s="590"/>
      <c r="E276" s="591" t="s">
        <v>739</v>
      </c>
      <c r="F276" s="592" t="s">
        <v>686</v>
      </c>
      <c r="G276" s="593">
        <f t="shared" ref="G276:BR276" si="66">SUM(G274:G275)</f>
        <v>17700</v>
      </c>
      <c r="H276" s="594">
        <f t="shared" si="66"/>
        <v>15200</v>
      </c>
      <c r="I276" s="595">
        <f t="shared" si="66"/>
        <v>15200</v>
      </c>
      <c r="J276" s="596">
        <f t="shared" si="66"/>
        <v>0</v>
      </c>
      <c r="K276" s="594">
        <f t="shared" si="66"/>
        <v>0</v>
      </c>
      <c r="L276" s="597">
        <f t="shared" si="66"/>
        <v>0</v>
      </c>
      <c r="M276" s="593">
        <f t="shared" si="66"/>
        <v>0</v>
      </c>
      <c r="N276" s="594">
        <f t="shared" si="66"/>
        <v>0</v>
      </c>
      <c r="O276" s="595">
        <f t="shared" si="66"/>
        <v>0</v>
      </c>
      <c r="P276" s="596">
        <f t="shared" si="66"/>
        <v>0</v>
      </c>
      <c r="Q276" s="594">
        <f t="shared" si="66"/>
        <v>0</v>
      </c>
      <c r="R276" s="597">
        <f t="shared" si="66"/>
        <v>0</v>
      </c>
      <c r="S276" s="593">
        <f t="shared" si="66"/>
        <v>0</v>
      </c>
      <c r="T276" s="594">
        <f t="shared" si="66"/>
        <v>0</v>
      </c>
      <c r="U276" s="595">
        <f t="shared" si="66"/>
        <v>0</v>
      </c>
      <c r="V276" s="596">
        <f t="shared" si="66"/>
        <v>0</v>
      </c>
      <c r="W276" s="594">
        <f t="shared" si="66"/>
        <v>0</v>
      </c>
      <c r="X276" s="597">
        <f t="shared" si="66"/>
        <v>0</v>
      </c>
      <c r="Y276" s="593">
        <f t="shared" si="66"/>
        <v>0</v>
      </c>
      <c r="Z276" s="594">
        <f t="shared" si="66"/>
        <v>0</v>
      </c>
      <c r="AA276" s="595">
        <f t="shared" si="66"/>
        <v>0</v>
      </c>
      <c r="AB276" s="596">
        <f t="shared" si="66"/>
        <v>0</v>
      </c>
      <c r="AC276" s="594">
        <f t="shared" si="66"/>
        <v>0</v>
      </c>
      <c r="AD276" s="597">
        <f t="shared" si="66"/>
        <v>0</v>
      </c>
      <c r="AE276" s="593">
        <f t="shared" si="66"/>
        <v>8000</v>
      </c>
      <c r="AF276" s="594">
        <f t="shared" si="66"/>
        <v>6000</v>
      </c>
      <c r="AG276" s="595">
        <f t="shared" si="66"/>
        <v>6000</v>
      </c>
      <c r="AH276" s="596">
        <f t="shared" si="66"/>
        <v>0</v>
      </c>
      <c r="AI276" s="594">
        <f t="shared" si="66"/>
        <v>0</v>
      </c>
      <c r="AJ276" s="597">
        <f t="shared" si="66"/>
        <v>0</v>
      </c>
      <c r="AK276" s="593">
        <f t="shared" si="66"/>
        <v>0</v>
      </c>
      <c r="AL276" s="594">
        <f t="shared" si="66"/>
        <v>0</v>
      </c>
      <c r="AM276" s="595">
        <f t="shared" si="66"/>
        <v>0</v>
      </c>
      <c r="AN276" s="596">
        <f t="shared" si="66"/>
        <v>2000</v>
      </c>
      <c r="AO276" s="594">
        <f t="shared" si="66"/>
        <v>2000</v>
      </c>
      <c r="AP276" s="597">
        <f t="shared" si="66"/>
        <v>2000</v>
      </c>
      <c r="AQ276" s="593">
        <f t="shared" si="66"/>
        <v>5000</v>
      </c>
      <c r="AR276" s="594">
        <f t="shared" si="66"/>
        <v>4500</v>
      </c>
      <c r="AS276" s="595">
        <f t="shared" si="66"/>
        <v>4500</v>
      </c>
      <c r="AT276" s="596">
        <f t="shared" si="66"/>
        <v>0</v>
      </c>
      <c r="AU276" s="594">
        <f t="shared" si="66"/>
        <v>0</v>
      </c>
      <c r="AV276" s="597">
        <f t="shared" si="66"/>
        <v>0</v>
      </c>
      <c r="AW276" s="593">
        <f t="shared" si="66"/>
        <v>0</v>
      </c>
      <c r="AX276" s="594">
        <f t="shared" si="66"/>
        <v>0</v>
      </c>
      <c r="AY276" s="595">
        <f t="shared" si="66"/>
        <v>0</v>
      </c>
      <c r="AZ276" s="596">
        <f t="shared" si="66"/>
        <v>0</v>
      </c>
      <c r="BA276" s="594">
        <f t="shared" si="66"/>
        <v>0</v>
      </c>
      <c r="BB276" s="597">
        <f t="shared" si="66"/>
        <v>0</v>
      </c>
      <c r="BC276" s="593">
        <f t="shared" si="66"/>
        <v>0</v>
      </c>
      <c r="BD276" s="594">
        <f t="shared" si="66"/>
        <v>0</v>
      </c>
      <c r="BE276" s="595">
        <f t="shared" si="66"/>
        <v>0</v>
      </c>
      <c r="BF276" s="596">
        <f t="shared" si="66"/>
        <v>0</v>
      </c>
      <c r="BG276" s="594">
        <f t="shared" si="66"/>
        <v>0</v>
      </c>
      <c r="BH276" s="597">
        <f t="shared" si="66"/>
        <v>0</v>
      </c>
      <c r="BI276" s="593">
        <f t="shared" si="66"/>
        <v>0</v>
      </c>
      <c r="BJ276" s="594">
        <f t="shared" si="66"/>
        <v>0</v>
      </c>
      <c r="BK276" s="595">
        <f t="shared" si="66"/>
        <v>0</v>
      </c>
      <c r="BL276" s="596">
        <f t="shared" si="66"/>
        <v>2700</v>
      </c>
      <c r="BM276" s="594">
        <f t="shared" si="66"/>
        <v>2700</v>
      </c>
      <c r="BN276" s="597">
        <f t="shared" si="66"/>
        <v>2700</v>
      </c>
      <c r="BO276" s="593">
        <f t="shared" si="66"/>
        <v>0</v>
      </c>
      <c r="BP276" s="594">
        <f t="shared" si="66"/>
        <v>0</v>
      </c>
      <c r="BQ276" s="595">
        <f t="shared" si="66"/>
        <v>0</v>
      </c>
      <c r="BR276" s="596">
        <f t="shared" si="66"/>
        <v>17700</v>
      </c>
      <c r="BS276" s="594">
        <f t="shared" ref="BS276:BW276" si="67">SUM(BS274:BS275)</f>
        <v>15200</v>
      </c>
      <c r="BT276" s="597">
        <f t="shared" si="67"/>
        <v>15200</v>
      </c>
      <c r="BU276" s="593">
        <f t="shared" si="67"/>
        <v>0</v>
      </c>
      <c r="BV276" s="594">
        <f t="shared" si="67"/>
        <v>0</v>
      </c>
      <c r="BW276" s="595">
        <f t="shared" si="67"/>
        <v>0</v>
      </c>
    </row>
    <row r="277" spans="1:75" ht="36">
      <c r="A277" s="470" t="s">
        <v>49</v>
      </c>
      <c r="B277" s="471">
        <v>12</v>
      </c>
      <c r="C277" s="471" t="s">
        <v>21</v>
      </c>
      <c r="D277" s="472">
        <v>3233</v>
      </c>
      <c r="E277" s="473" t="s">
        <v>81</v>
      </c>
      <c r="F277" s="474" t="s">
        <v>689</v>
      </c>
      <c r="G277" s="564">
        <f t="shared" ref="G277:I281" si="68">BR277+BU277</f>
        <v>34500</v>
      </c>
      <c r="H277" s="565">
        <f t="shared" si="68"/>
        <v>0</v>
      </c>
      <c r="I277" s="566">
        <f t="shared" si="68"/>
        <v>0</v>
      </c>
      <c r="J277" s="610">
        <v>34500</v>
      </c>
      <c r="K277" s="611"/>
      <c r="L277" s="612"/>
      <c r="M277" s="570"/>
      <c r="N277" s="568"/>
      <c r="O277" s="571"/>
      <c r="P277" s="567"/>
      <c r="Q277" s="568"/>
      <c r="R277" s="569"/>
      <c r="S277" s="570"/>
      <c r="T277" s="568"/>
      <c r="U277" s="571"/>
      <c r="V277" s="567"/>
      <c r="W277" s="568"/>
      <c r="X277" s="569"/>
      <c r="Y277" s="572">
        <f t="shared" ref="Y277:AA281" si="69">J277+M277+P277+S277+V277</f>
        <v>34500</v>
      </c>
      <c r="Z277" s="573">
        <f t="shared" si="69"/>
        <v>0</v>
      </c>
      <c r="AA277" s="574">
        <f t="shared" si="69"/>
        <v>0</v>
      </c>
      <c r="AB277" s="567"/>
      <c r="AC277" s="568"/>
      <c r="AD277" s="569"/>
      <c r="AE277" s="570"/>
      <c r="AF277" s="568"/>
      <c r="AG277" s="571"/>
      <c r="AH277" s="567"/>
      <c r="AI277" s="568"/>
      <c r="AJ277" s="644"/>
      <c r="AK277" s="578"/>
      <c r="AL277" s="579"/>
      <c r="AM277" s="580"/>
      <c r="AN277" s="645"/>
      <c r="AO277" s="579"/>
      <c r="AP277" s="644"/>
      <c r="AQ277" s="578"/>
      <c r="AR277" s="579"/>
      <c r="AS277" s="580"/>
      <c r="AT277" s="645"/>
      <c r="AU277" s="579"/>
      <c r="AV277" s="644"/>
      <c r="AW277" s="578"/>
      <c r="AX277" s="579"/>
      <c r="AY277" s="580"/>
      <c r="AZ277" s="645"/>
      <c r="BA277" s="579"/>
      <c r="BB277" s="644"/>
      <c r="BC277" s="578"/>
      <c r="BD277" s="579"/>
      <c r="BE277" s="580"/>
      <c r="BF277" s="645"/>
      <c r="BG277" s="579"/>
      <c r="BH277" s="644"/>
      <c r="BI277" s="578"/>
      <c r="BJ277" s="579"/>
      <c r="BK277" s="580"/>
      <c r="BL277" s="645"/>
      <c r="BM277" s="579"/>
      <c r="BN277" s="644"/>
      <c r="BO277" s="578"/>
      <c r="BP277" s="579"/>
      <c r="BQ277" s="580"/>
      <c r="BR277" s="575">
        <f t="shared" ref="BR277:BT281" si="70">AB277+AE277+AH277+AK277+AN277+AQ277+AT277+AW277+AZ277+BC277+BF277+BI277+BL277+BO277+Y277</f>
        <v>34500</v>
      </c>
      <c r="BS277" s="576">
        <f t="shared" si="70"/>
        <v>0</v>
      </c>
      <c r="BT277" s="577">
        <f t="shared" si="70"/>
        <v>0</v>
      </c>
      <c r="BU277" s="578"/>
      <c r="BV277" s="579"/>
      <c r="BW277" s="580"/>
    </row>
    <row r="278" spans="1:75" ht="36">
      <c r="A278" s="470" t="s">
        <v>49</v>
      </c>
      <c r="B278" s="471">
        <v>12</v>
      </c>
      <c r="C278" s="471" t="s">
        <v>21</v>
      </c>
      <c r="D278" s="521">
        <v>3237</v>
      </c>
      <c r="E278" s="522" t="s">
        <v>62</v>
      </c>
      <c r="F278" s="474" t="s">
        <v>689</v>
      </c>
      <c r="G278" s="497">
        <f t="shared" si="68"/>
        <v>20704</v>
      </c>
      <c r="H278" s="498">
        <f t="shared" si="68"/>
        <v>0</v>
      </c>
      <c r="I278" s="499">
        <f t="shared" si="68"/>
        <v>0</v>
      </c>
      <c r="J278" s="615">
        <v>20704</v>
      </c>
      <c r="K278" s="616"/>
      <c r="L278" s="617"/>
      <c r="M278" s="503"/>
      <c r="N278" s="501"/>
      <c r="O278" s="504"/>
      <c r="P278" s="500"/>
      <c r="Q278" s="501"/>
      <c r="R278" s="502"/>
      <c r="S278" s="503"/>
      <c r="T278" s="501"/>
      <c r="U278" s="504"/>
      <c r="V278" s="500"/>
      <c r="W278" s="501"/>
      <c r="X278" s="502"/>
      <c r="Y278" s="505">
        <f t="shared" si="69"/>
        <v>20704</v>
      </c>
      <c r="Z278" s="506">
        <f t="shared" si="69"/>
        <v>0</v>
      </c>
      <c r="AA278" s="507">
        <f t="shared" si="69"/>
        <v>0</v>
      </c>
      <c r="AB278" s="500"/>
      <c r="AC278" s="501"/>
      <c r="AD278" s="502"/>
      <c r="AE278" s="503"/>
      <c r="AF278" s="501"/>
      <c r="AG278" s="504"/>
      <c r="AH278" s="500"/>
      <c r="AI278" s="501"/>
      <c r="AJ278" s="646"/>
      <c r="AK278" s="516"/>
      <c r="AL278" s="517"/>
      <c r="AM278" s="518"/>
      <c r="AN278" s="647"/>
      <c r="AO278" s="517"/>
      <c r="AP278" s="646"/>
      <c r="AQ278" s="516"/>
      <c r="AR278" s="517"/>
      <c r="AS278" s="518"/>
      <c r="AT278" s="647"/>
      <c r="AU278" s="517"/>
      <c r="AV278" s="646"/>
      <c r="AW278" s="516"/>
      <c r="AX278" s="517"/>
      <c r="AY278" s="518"/>
      <c r="AZ278" s="647"/>
      <c r="BA278" s="517"/>
      <c r="BB278" s="646"/>
      <c r="BC278" s="516"/>
      <c r="BD278" s="517"/>
      <c r="BE278" s="518"/>
      <c r="BF278" s="647"/>
      <c r="BG278" s="517"/>
      <c r="BH278" s="646"/>
      <c r="BI278" s="516"/>
      <c r="BJ278" s="517"/>
      <c r="BK278" s="518"/>
      <c r="BL278" s="647"/>
      <c r="BM278" s="517"/>
      <c r="BN278" s="646"/>
      <c r="BO278" s="516"/>
      <c r="BP278" s="517"/>
      <c r="BQ278" s="518"/>
      <c r="BR278" s="513">
        <f t="shared" si="70"/>
        <v>20704</v>
      </c>
      <c r="BS278" s="514">
        <f t="shared" si="70"/>
        <v>0</v>
      </c>
      <c r="BT278" s="515">
        <f t="shared" si="70"/>
        <v>0</v>
      </c>
      <c r="BU278" s="516"/>
      <c r="BV278" s="517"/>
      <c r="BW278" s="518"/>
    </row>
    <row r="279" spans="1:75" ht="36">
      <c r="A279" s="470" t="s">
        <v>49</v>
      </c>
      <c r="B279" s="471">
        <v>12</v>
      </c>
      <c r="C279" s="471" t="s">
        <v>21</v>
      </c>
      <c r="D279" s="521">
        <v>3239</v>
      </c>
      <c r="E279" s="522" t="s">
        <v>66</v>
      </c>
      <c r="F279" s="474" t="s">
        <v>689</v>
      </c>
      <c r="G279" s="497">
        <f t="shared" si="68"/>
        <v>2812</v>
      </c>
      <c r="H279" s="498">
        <f t="shared" si="68"/>
        <v>0</v>
      </c>
      <c r="I279" s="499">
        <f t="shared" si="68"/>
        <v>0</v>
      </c>
      <c r="J279" s="615">
        <v>2812</v>
      </c>
      <c r="K279" s="616"/>
      <c r="L279" s="617"/>
      <c r="M279" s="503"/>
      <c r="N279" s="501"/>
      <c r="O279" s="504"/>
      <c r="P279" s="500"/>
      <c r="Q279" s="501"/>
      <c r="R279" s="502"/>
      <c r="S279" s="503"/>
      <c r="T279" s="501"/>
      <c r="U279" s="504"/>
      <c r="V279" s="500"/>
      <c r="W279" s="501"/>
      <c r="X279" s="502"/>
      <c r="Y279" s="505">
        <f t="shared" si="69"/>
        <v>2812</v>
      </c>
      <c r="Z279" s="506">
        <f t="shared" si="69"/>
        <v>0</v>
      </c>
      <c r="AA279" s="507">
        <f t="shared" si="69"/>
        <v>0</v>
      </c>
      <c r="AB279" s="500"/>
      <c r="AC279" s="501"/>
      <c r="AD279" s="502"/>
      <c r="AE279" s="503"/>
      <c r="AF279" s="501"/>
      <c r="AG279" s="504"/>
      <c r="AH279" s="500"/>
      <c r="AI279" s="501"/>
      <c r="AJ279" s="646"/>
      <c r="AK279" s="516"/>
      <c r="AL279" s="517"/>
      <c r="AM279" s="518"/>
      <c r="AN279" s="647"/>
      <c r="AO279" s="517"/>
      <c r="AP279" s="646"/>
      <c r="AQ279" s="516"/>
      <c r="AR279" s="517"/>
      <c r="AS279" s="518"/>
      <c r="AT279" s="647"/>
      <c r="AU279" s="517"/>
      <c r="AV279" s="646"/>
      <c r="AW279" s="516"/>
      <c r="AX279" s="517"/>
      <c r="AY279" s="518"/>
      <c r="AZ279" s="647"/>
      <c r="BA279" s="517"/>
      <c r="BB279" s="646"/>
      <c r="BC279" s="516"/>
      <c r="BD279" s="517"/>
      <c r="BE279" s="518"/>
      <c r="BF279" s="647"/>
      <c r="BG279" s="517"/>
      <c r="BH279" s="646"/>
      <c r="BI279" s="516"/>
      <c r="BJ279" s="517"/>
      <c r="BK279" s="518"/>
      <c r="BL279" s="647"/>
      <c r="BM279" s="517"/>
      <c r="BN279" s="646"/>
      <c r="BO279" s="516"/>
      <c r="BP279" s="517"/>
      <c r="BQ279" s="518"/>
      <c r="BR279" s="513">
        <f t="shared" si="70"/>
        <v>2812</v>
      </c>
      <c r="BS279" s="514">
        <f t="shared" si="70"/>
        <v>0</v>
      </c>
      <c r="BT279" s="515">
        <f t="shared" si="70"/>
        <v>0</v>
      </c>
      <c r="BU279" s="516"/>
      <c r="BV279" s="517"/>
      <c r="BW279" s="518"/>
    </row>
    <row r="280" spans="1:75" ht="36">
      <c r="A280" s="519" t="s">
        <v>49</v>
      </c>
      <c r="B280" s="520">
        <v>12</v>
      </c>
      <c r="C280" s="520" t="s">
        <v>21</v>
      </c>
      <c r="D280" s="521">
        <v>4212</v>
      </c>
      <c r="E280" s="522" t="s">
        <v>58</v>
      </c>
      <c r="F280" s="523" t="s">
        <v>689</v>
      </c>
      <c r="G280" s="628">
        <f t="shared" si="68"/>
        <v>1005796</v>
      </c>
      <c r="H280" s="498">
        <f t="shared" si="68"/>
        <v>0</v>
      </c>
      <c r="I280" s="499">
        <f t="shared" si="68"/>
        <v>0</v>
      </c>
      <c r="J280" s="615">
        <v>1005796</v>
      </c>
      <c r="K280" s="616"/>
      <c r="L280" s="617"/>
      <c r="M280" s="503"/>
      <c r="N280" s="501"/>
      <c r="O280" s="504"/>
      <c r="P280" s="500"/>
      <c r="Q280" s="501"/>
      <c r="R280" s="502"/>
      <c r="S280" s="503"/>
      <c r="T280" s="501"/>
      <c r="U280" s="504"/>
      <c r="V280" s="500"/>
      <c r="W280" s="501"/>
      <c r="X280" s="502"/>
      <c r="Y280" s="505">
        <f t="shared" si="69"/>
        <v>1005796</v>
      </c>
      <c r="Z280" s="506">
        <f t="shared" si="69"/>
        <v>0</v>
      </c>
      <c r="AA280" s="507">
        <f t="shared" si="69"/>
        <v>0</v>
      </c>
      <c r="AB280" s="500"/>
      <c r="AC280" s="501"/>
      <c r="AD280" s="502"/>
      <c r="AE280" s="503"/>
      <c r="AF280" s="501"/>
      <c r="AG280" s="504"/>
      <c r="AH280" s="500"/>
      <c r="AI280" s="501"/>
      <c r="AJ280" s="646"/>
      <c r="AK280" s="516"/>
      <c r="AL280" s="517"/>
      <c r="AM280" s="518"/>
      <c r="AN280" s="647"/>
      <c r="AO280" s="517"/>
      <c r="AP280" s="646"/>
      <c r="AQ280" s="516"/>
      <c r="AR280" s="517"/>
      <c r="AS280" s="518"/>
      <c r="AT280" s="647"/>
      <c r="AU280" s="517"/>
      <c r="AV280" s="646"/>
      <c r="AW280" s="516"/>
      <c r="AX280" s="517"/>
      <c r="AY280" s="518"/>
      <c r="AZ280" s="647"/>
      <c r="BA280" s="517"/>
      <c r="BB280" s="646"/>
      <c r="BC280" s="516"/>
      <c r="BD280" s="517"/>
      <c r="BE280" s="518"/>
      <c r="BF280" s="647"/>
      <c r="BG280" s="517"/>
      <c r="BH280" s="646"/>
      <c r="BI280" s="516"/>
      <c r="BJ280" s="517"/>
      <c r="BK280" s="518"/>
      <c r="BL280" s="647"/>
      <c r="BM280" s="517"/>
      <c r="BN280" s="646"/>
      <c r="BO280" s="516"/>
      <c r="BP280" s="517"/>
      <c r="BQ280" s="518"/>
      <c r="BR280" s="513">
        <f t="shared" si="70"/>
        <v>1005796</v>
      </c>
      <c r="BS280" s="514">
        <f t="shared" si="70"/>
        <v>0</v>
      </c>
      <c r="BT280" s="515">
        <f t="shared" si="70"/>
        <v>0</v>
      </c>
      <c r="BU280" s="516"/>
      <c r="BV280" s="517"/>
      <c r="BW280" s="518"/>
    </row>
    <row r="281" spans="1:75" ht="36.75" thickBot="1">
      <c r="A281" s="524" t="s">
        <v>49</v>
      </c>
      <c r="B281" s="525">
        <v>12</v>
      </c>
      <c r="C281" s="525" t="s">
        <v>21</v>
      </c>
      <c r="D281" s="526">
        <v>4221</v>
      </c>
      <c r="E281" s="527" t="s">
        <v>63</v>
      </c>
      <c r="F281" s="528" t="s">
        <v>689</v>
      </c>
      <c r="G281" s="529">
        <f t="shared" si="68"/>
        <v>715341</v>
      </c>
      <c r="H281" s="530">
        <f t="shared" si="68"/>
        <v>0</v>
      </c>
      <c r="I281" s="531">
        <f t="shared" si="68"/>
        <v>0</v>
      </c>
      <c r="J281" s="620">
        <v>715341</v>
      </c>
      <c r="K281" s="621"/>
      <c r="L281" s="622"/>
      <c r="M281" s="535"/>
      <c r="N281" s="533"/>
      <c r="O281" s="536"/>
      <c r="P281" s="532"/>
      <c r="Q281" s="533"/>
      <c r="R281" s="534"/>
      <c r="S281" s="535"/>
      <c r="T281" s="533"/>
      <c r="U281" s="536"/>
      <c r="V281" s="532"/>
      <c r="W281" s="533"/>
      <c r="X281" s="534"/>
      <c r="Y281" s="537">
        <f t="shared" si="69"/>
        <v>715341</v>
      </c>
      <c r="Z281" s="538">
        <f t="shared" si="69"/>
        <v>0</v>
      </c>
      <c r="AA281" s="539">
        <f t="shared" si="69"/>
        <v>0</v>
      </c>
      <c r="AB281" s="532"/>
      <c r="AC281" s="533"/>
      <c r="AD281" s="534"/>
      <c r="AE281" s="535"/>
      <c r="AF281" s="533"/>
      <c r="AG281" s="536"/>
      <c r="AH281" s="532"/>
      <c r="AI281" s="533"/>
      <c r="AJ281" s="540"/>
      <c r="AK281" s="549"/>
      <c r="AL281" s="550"/>
      <c r="AM281" s="551"/>
      <c r="AN281" s="648"/>
      <c r="AO281" s="550"/>
      <c r="AP281" s="540"/>
      <c r="AQ281" s="549"/>
      <c r="AR281" s="550"/>
      <c r="AS281" s="551"/>
      <c r="AT281" s="648"/>
      <c r="AU281" s="550"/>
      <c r="AV281" s="540"/>
      <c r="AW281" s="549"/>
      <c r="AX281" s="550"/>
      <c r="AY281" s="551"/>
      <c r="AZ281" s="648"/>
      <c r="BA281" s="550"/>
      <c r="BB281" s="540"/>
      <c r="BC281" s="549"/>
      <c r="BD281" s="550"/>
      <c r="BE281" s="551"/>
      <c r="BF281" s="648"/>
      <c r="BG281" s="550"/>
      <c r="BH281" s="540"/>
      <c r="BI281" s="549"/>
      <c r="BJ281" s="550"/>
      <c r="BK281" s="551"/>
      <c r="BL281" s="648"/>
      <c r="BM281" s="550"/>
      <c r="BN281" s="540"/>
      <c r="BO281" s="549"/>
      <c r="BP281" s="550"/>
      <c r="BQ281" s="551"/>
      <c r="BR281" s="546">
        <f t="shared" si="70"/>
        <v>715341</v>
      </c>
      <c r="BS281" s="547">
        <f t="shared" si="70"/>
        <v>0</v>
      </c>
      <c r="BT281" s="548">
        <f t="shared" si="70"/>
        <v>0</v>
      </c>
      <c r="BU281" s="549"/>
      <c r="BV281" s="550"/>
      <c r="BW281" s="551"/>
    </row>
    <row r="282" spans="1:75" ht="36.75" thickBot="1">
      <c r="A282" s="581" t="s">
        <v>49</v>
      </c>
      <c r="B282" s="554">
        <v>12</v>
      </c>
      <c r="C282" s="554" t="s">
        <v>21</v>
      </c>
      <c r="D282" s="555"/>
      <c r="E282" s="556" t="s">
        <v>161</v>
      </c>
      <c r="F282" s="557" t="s">
        <v>689</v>
      </c>
      <c r="G282" s="558">
        <f t="shared" ref="G282:BR282" si="71">SUM(G277:G281)</f>
        <v>1779153</v>
      </c>
      <c r="H282" s="559">
        <f t="shared" si="71"/>
        <v>0</v>
      </c>
      <c r="I282" s="560">
        <f t="shared" si="71"/>
        <v>0</v>
      </c>
      <c r="J282" s="561">
        <f t="shared" si="71"/>
        <v>1779153</v>
      </c>
      <c r="K282" s="559">
        <f t="shared" si="71"/>
        <v>0</v>
      </c>
      <c r="L282" s="562">
        <f t="shared" si="71"/>
        <v>0</v>
      </c>
      <c r="M282" s="558">
        <f t="shared" si="71"/>
        <v>0</v>
      </c>
      <c r="N282" s="559">
        <f t="shared" si="71"/>
        <v>0</v>
      </c>
      <c r="O282" s="560">
        <f t="shared" si="71"/>
        <v>0</v>
      </c>
      <c r="P282" s="561">
        <f t="shared" si="71"/>
        <v>0</v>
      </c>
      <c r="Q282" s="559">
        <f t="shared" si="71"/>
        <v>0</v>
      </c>
      <c r="R282" s="562">
        <f t="shared" si="71"/>
        <v>0</v>
      </c>
      <c r="S282" s="558">
        <f t="shared" si="71"/>
        <v>0</v>
      </c>
      <c r="T282" s="559">
        <f t="shared" si="71"/>
        <v>0</v>
      </c>
      <c r="U282" s="560">
        <f t="shared" si="71"/>
        <v>0</v>
      </c>
      <c r="V282" s="561">
        <f t="shared" si="71"/>
        <v>0</v>
      </c>
      <c r="W282" s="559">
        <f t="shared" si="71"/>
        <v>0</v>
      </c>
      <c r="X282" s="562">
        <f t="shared" si="71"/>
        <v>0</v>
      </c>
      <c r="Y282" s="558">
        <f t="shared" si="71"/>
        <v>1779153</v>
      </c>
      <c r="Z282" s="559">
        <f t="shared" si="71"/>
        <v>0</v>
      </c>
      <c r="AA282" s="560">
        <f t="shared" si="71"/>
        <v>0</v>
      </c>
      <c r="AB282" s="561">
        <f t="shared" si="71"/>
        <v>0</v>
      </c>
      <c r="AC282" s="559">
        <f t="shared" si="71"/>
        <v>0</v>
      </c>
      <c r="AD282" s="562">
        <f t="shared" si="71"/>
        <v>0</v>
      </c>
      <c r="AE282" s="558">
        <f t="shared" si="71"/>
        <v>0</v>
      </c>
      <c r="AF282" s="559">
        <f t="shared" si="71"/>
        <v>0</v>
      </c>
      <c r="AG282" s="560">
        <f t="shared" si="71"/>
        <v>0</v>
      </c>
      <c r="AH282" s="561">
        <f t="shared" si="71"/>
        <v>0</v>
      </c>
      <c r="AI282" s="559">
        <f t="shared" si="71"/>
        <v>0</v>
      </c>
      <c r="AJ282" s="562">
        <f t="shared" si="71"/>
        <v>0</v>
      </c>
      <c r="AK282" s="558">
        <f t="shared" si="71"/>
        <v>0</v>
      </c>
      <c r="AL282" s="559">
        <f t="shared" si="71"/>
        <v>0</v>
      </c>
      <c r="AM282" s="560">
        <f t="shared" si="71"/>
        <v>0</v>
      </c>
      <c r="AN282" s="561">
        <f t="shared" si="71"/>
        <v>0</v>
      </c>
      <c r="AO282" s="559">
        <f t="shared" si="71"/>
        <v>0</v>
      </c>
      <c r="AP282" s="562">
        <f t="shared" si="71"/>
        <v>0</v>
      </c>
      <c r="AQ282" s="558">
        <f t="shared" si="71"/>
        <v>0</v>
      </c>
      <c r="AR282" s="559">
        <f t="shared" si="71"/>
        <v>0</v>
      </c>
      <c r="AS282" s="560">
        <f t="shared" si="71"/>
        <v>0</v>
      </c>
      <c r="AT282" s="561">
        <f t="shared" si="71"/>
        <v>0</v>
      </c>
      <c r="AU282" s="559">
        <f t="shared" si="71"/>
        <v>0</v>
      </c>
      <c r="AV282" s="562">
        <f t="shared" si="71"/>
        <v>0</v>
      </c>
      <c r="AW282" s="558">
        <f t="shared" si="71"/>
        <v>0</v>
      </c>
      <c r="AX282" s="559">
        <f t="shared" si="71"/>
        <v>0</v>
      </c>
      <c r="AY282" s="560">
        <f t="shared" si="71"/>
        <v>0</v>
      </c>
      <c r="AZ282" s="561">
        <f t="shared" si="71"/>
        <v>0</v>
      </c>
      <c r="BA282" s="559">
        <f t="shared" si="71"/>
        <v>0</v>
      </c>
      <c r="BB282" s="562">
        <f t="shared" si="71"/>
        <v>0</v>
      </c>
      <c r="BC282" s="558">
        <f t="shared" si="71"/>
        <v>0</v>
      </c>
      <c r="BD282" s="559">
        <f t="shared" si="71"/>
        <v>0</v>
      </c>
      <c r="BE282" s="560">
        <f t="shared" si="71"/>
        <v>0</v>
      </c>
      <c r="BF282" s="561">
        <f t="shared" si="71"/>
        <v>0</v>
      </c>
      <c r="BG282" s="559">
        <f t="shared" si="71"/>
        <v>0</v>
      </c>
      <c r="BH282" s="562">
        <f t="shared" si="71"/>
        <v>0</v>
      </c>
      <c r="BI282" s="558">
        <f t="shared" si="71"/>
        <v>0</v>
      </c>
      <c r="BJ282" s="559">
        <f t="shared" si="71"/>
        <v>0</v>
      </c>
      <c r="BK282" s="560">
        <f t="shared" si="71"/>
        <v>0</v>
      </c>
      <c r="BL282" s="561">
        <f t="shared" si="71"/>
        <v>0</v>
      </c>
      <c r="BM282" s="559">
        <f t="shared" si="71"/>
        <v>0</v>
      </c>
      <c r="BN282" s="562">
        <f t="shared" si="71"/>
        <v>0</v>
      </c>
      <c r="BO282" s="558">
        <f t="shared" si="71"/>
        <v>0</v>
      </c>
      <c r="BP282" s="559">
        <f t="shared" si="71"/>
        <v>0</v>
      </c>
      <c r="BQ282" s="560">
        <f t="shared" si="71"/>
        <v>0</v>
      </c>
      <c r="BR282" s="561">
        <f t="shared" si="71"/>
        <v>1779153</v>
      </c>
      <c r="BS282" s="559">
        <f t="shared" ref="BS282:BW282" si="72">SUM(BS277:BS281)</f>
        <v>0</v>
      </c>
      <c r="BT282" s="562">
        <f t="shared" si="72"/>
        <v>0</v>
      </c>
      <c r="BU282" s="558">
        <f t="shared" si="72"/>
        <v>0</v>
      </c>
      <c r="BV282" s="559">
        <f t="shared" si="72"/>
        <v>0</v>
      </c>
      <c r="BW282" s="560">
        <f t="shared" si="72"/>
        <v>0</v>
      </c>
    </row>
    <row r="283" spans="1:75" s="598" customFormat="1" ht="36">
      <c r="A283" s="470" t="s">
        <v>49</v>
      </c>
      <c r="B283" s="471">
        <v>12</v>
      </c>
      <c r="C283" s="471" t="s">
        <v>21</v>
      </c>
      <c r="D283" s="472">
        <v>3111</v>
      </c>
      <c r="E283" s="473" t="s">
        <v>50</v>
      </c>
      <c r="F283" s="474" t="s">
        <v>690</v>
      </c>
      <c r="G283" s="564">
        <f t="shared" ref="G283:I296" si="73">BR283+BU283</f>
        <v>33050</v>
      </c>
      <c r="H283" s="565">
        <f t="shared" si="73"/>
        <v>1532</v>
      </c>
      <c r="I283" s="566">
        <f t="shared" si="73"/>
        <v>0</v>
      </c>
      <c r="J283" s="649"/>
      <c r="K283" s="650"/>
      <c r="L283" s="651"/>
      <c r="M283" s="652"/>
      <c r="N283" s="650"/>
      <c r="O283" s="653"/>
      <c r="P283" s="649"/>
      <c r="Q283" s="650"/>
      <c r="R283" s="651"/>
      <c r="S283" s="652"/>
      <c r="T283" s="650"/>
      <c r="U283" s="653"/>
      <c r="V283" s="649"/>
      <c r="W283" s="650"/>
      <c r="X283" s="651"/>
      <c r="Y283" s="572">
        <f t="shared" ref="Y283:AA296" si="74">J283+M283+P283+S283+V283</f>
        <v>0</v>
      </c>
      <c r="Z283" s="573">
        <f t="shared" si="74"/>
        <v>0</v>
      </c>
      <c r="AA283" s="574">
        <f t="shared" si="74"/>
        <v>0</v>
      </c>
      <c r="AB283" s="649"/>
      <c r="AC283" s="650"/>
      <c r="AD283" s="651"/>
      <c r="AE283" s="652"/>
      <c r="AF283" s="650"/>
      <c r="AG283" s="653"/>
      <c r="AH283" s="649"/>
      <c r="AI283" s="650"/>
      <c r="AJ283" s="651"/>
      <c r="AK283" s="652"/>
      <c r="AL283" s="650"/>
      <c r="AM283" s="653"/>
      <c r="AN283" s="649"/>
      <c r="AO283" s="650"/>
      <c r="AP283" s="651"/>
      <c r="AQ283" s="652"/>
      <c r="AR283" s="650"/>
      <c r="AS283" s="653"/>
      <c r="AT283" s="649"/>
      <c r="AU283" s="650"/>
      <c r="AV283" s="651"/>
      <c r="AW283" s="613">
        <v>33050</v>
      </c>
      <c r="AX283" s="611">
        <v>1532</v>
      </c>
      <c r="AY283" s="653"/>
      <c r="AZ283" s="649"/>
      <c r="BA283" s="650"/>
      <c r="BB283" s="651"/>
      <c r="BC283" s="652"/>
      <c r="BD283" s="650"/>
      <c r="BE283" s="653"/>
      <c r="BF283" s="649"/>
      <c r="BG283" s="650"/>
      <c r="BH283" s="651"/>
      <c r="BI283" s="652"/>
      <c r="BJ283" s="650"/>
      <c r="BK283" s="653"/>
      <c r="BL283" s="649"/>
      <c r="BM283" s="650"/>
      <c r="BN283" s="651"/>
      <c r="BO283" s="652"/>
      <c r="BP283" s="650"/>
      <c r="BQ283" s="653"/>
      <c r="BR283" s="575">
        <f t="shared" ref="BR283:BT296" si="75">AB283+AE283+AH283+AK283+AN283+AQ283+AT283+AW283+AZ283+BC283+BF283+BI283+BL283+BO283+Y283</f>
        <v>33050</v>
      </c>
      <c r="BS283" s="576">
        <f t="shared" si="75"/>
        <v>1532</v>
      </c>
      <c r="BT283" s="577">
        <f t="shared" si="75"/>
        <v>0</v>
      </c>
      <c r="BU283" s="654"/>
      <c r="BV283" s="655"/>
      <c r="BW283" s="656"/>
    </row>
    <row r="284" spans="1:75" s="598" customFormat="1" ht="36">
      <c r="A284" s="470" t="s">
        <v>49</v>
      </c>
      <c r="B284" s="471">
        <v>12</v>
      </c>
      <c r="C284" s="471" t="s">
        <v>21</v>
      </c>
      <c r="D284" s="521">
        <v>3132</v>
      </c>
      <c r="E284" s="522" t="s">
        <v>52</v>
      </c>
      <c r="F284" s="474" t="s">
        <v>690</v>
      </c>
      <c r="G284" s="497">
        <f t="shared" si="73"/>
        <v>5453</v>
      </c>
      <c r="H284" s="498">
        <f t="shared" si="73"/>
        <v>252</v>
      </c>
      <c r="I284" s="499">
        <f t="shared" si="73"/>
        <v>0</v>
      </c>
      <c r="J284" s="631"/>
      <c r="K284" s="632"/>
      <c r="L284" s="633"/>
      <c r="M284" s="634"/>
      <c r="N284" s="632"/>
      <c r="O284" s="635"/>
      <c r="P284" s="631"/>
      <c r="Q284" s="632"/>
      <c r="R284" s="633"/>
      <c r="S284" s="634"/>
      <c r="T284" s="632"/>
      <c r="U284" s="635"/>
      <c r="V284" s="631"/>
      <c r="W284" s="632"/>
      <c r="X284" s="633"/>
      <c r="Y284" s="505">
        <f t="shared" si="74"/>
        <v>0</v>
      </c>
      <c r="Z284" s="506">
        <f t="shared" si="74"/>
        <v>0</v>
      </c>
      <c r="AA284" s="507">
        <f t="shared" si="74"/>
        <v>0</v>
      </c>
      <c r="AB284" s="631"/>
      <c r="AC284" s="632"/>
      <c r="AD284" s="633"/>
      <c r="AE284" s="634"/>
      <c r="AF284" s="632"/>
      <c r="AG284" s="635"/>
      <c r="AH284" s="631"/>
      <c r="AI284" s="632"/>
      <c r="AJ284" s="633"/>
      <c r="AK284" s="634"/>
      <c r="AL284" s="632"/>
      <c r="AM284" s="635"/>
      <c r="AN284" s="631"/>
      <c r="AO284" s="632"/>
      <c r="AP284" s="633"/>
      <c r="AQ284" s="634"/>
      <c r="AR284" s="632"/>
      <c r="AS284" s="635"/>
      <c r="AT284" s="631"/>
      <c r="AU284" s="632"/>
      <c r="AV284" s="633"/>
      <c r="AW284" s="618">
        <v>5453</v>
      </c>
      <c r="AX284" s="616">
        <v>252</v>
      </c>
      <c r="AY284" s="635"/>
      <c r="AZ284" s="631"/>
      <c r="BA284" s="632"/>
      <c r="BB284" s="633"/>
      <c r="BC284" s="634"/>
      <c r="BD284" s="632"/>
      <c r="BE284" s="635"/>
      <c r="BF284" s="631"/>
      <c r="BG284" s="632"/>
      <c r="BH284" s="633"/>
      <c r="BI284" s="634"/>
      <c r="BJ284" s="632"/>
      <c r="BK284" s="635"/>
      <c r="BL284" s="631"/>
      <c r="BM284" s="632"/>
      <c r="BN284" s="633"/>
      <c r="BO284" s="634"/>
      <c r="BP284" s="632"/>
      <c r="BQ284" s="635"/>
      <c r="BR284" s="513">
        <f t="shared" si="75"/>
        <v>5453</v>
      </c>
      <c r="BS284" s="514">
        <f t="shared" si="75"/>
        <v>252</v>
      </c>
      <c r="BT284" s="515">
        <f t="shared" si="75"/>
        <v>0</v>
      </c>
      <c r="BU284" s="636"/>
      <c r="BV284" s="637"/>
      <c r="BW284" s="638"/>
    </row>
    <row r="285" spans="1:75" s="598" customFormat="1" ht="36">
      <c r="A285" s="470" t="s">
        <v>49</v>
      </c>
      <c r="B285" s="471">
        <v>12</v>
      </c>
      <c r="C285" s="471" t="s">
        <v>21</v>
      </c>
      <c r="D285" s="521">
        <v>3211</v>
      </c>
      <c r="E285" s="522" t="s">
        <v>60</v>
      </c>
      <c r="F285" s="474" t="s">
        <v>690</v>
      </c>
      <c r="G285" s="497">
        <f t="shared" si="73"/>
        <v>34665</v>
      </c>
      <c r="H285" s="498">
        <f t="shared" si="73"/>
        <v>0</v>
      </c>
      <c r="I285" s="499">
        <f t="shared" si="73"/>
        <v>0</v>
      </c>
      <c r="J285" s="631"/>
      <c r="K285" s="632"/>
      <c r="L285" s="633"/>
      <c r="M285" s="634"/>
      <c r="N285" s="632"/>
      <c r="O285" s="635"/>
      <c r="P285" s="631"/>
      <c r="Q285" s="632"/>
      <c r="R285" s="633"/>
      <c r="S285" s="634"/>
      <c r="T285" s="632"/>
      <c r="U285" s="635"/>
      <c r="V285" s="631"/>
      <c r="W285" s="632"/>
      <c r="X285" s="633"/>
      <c r="Y285" s="505">
        <f t="shared" si="74"/>
        <v>0</v>
      </c>
      <c r="Z285" s="506">
        <f t="shared" si="74"/>
        <v>0</v>
      </c>
      <c r="AA285" s="507">
        <f t="shared" si="74"/>
        <v>0</v>
      </c>
      <c r="AB285" s="631"/>
      <c r="AC285" s="632"/>
      <c r="AD285" s="633"/>
      <c r="AE285" s="634"/>
      <c r="AF285" s="632"/>
      <c r="AG285" s="635"/>
      <c r="AH285" s="631"/>
      <c r="AI285" s="632"/>
      <c r="AJ285" s="633"/>
      <c r="AK285" s="634"/>
      <c r="AL285" s="632"/>
      <c r="AM285" s="635"/>
      <c r="AN285" s="615">
        <v>15000</v>
      </c>
      <c r="AO285" s="632"/>
      <c r="AP285" s="633"/>
      <c r="AQ285" s="634"/>
      <c r="AR285" s="632"/>
      <c r="AS285" s="635"/>
      <c r="AT285" s="631"/>
      <c r="AU285" s="632"/>
      <c r="AV285" s="633"/>
      <c r="AW285" s="618">
        <v>19665</v>
      </c>
      <c r="AX285" s="632"/>
      <c r="AY285" s="635"/>
      <c r="AZ285" s="631"/>
      <c r="BA285" s="632"/>
      <c r="BB285" s="633"/>
      <c r="BC285" s="634"/>
      <c r="BD285" s="632"/>
      <c r="BE285" s="635"/>
      <c r="BF285" s="631"/>
      <c r="BG285" s="632"/>
      <c r="BH285" s="633"/>
      <c r="BI285" s="634"/>
      <c r="BJ285" s="632"/>
      <c r="BK285" s="635"/>
      <c r="BL285" s="631"/>
      <c r="BM285" s="632"/>
      <c r="BN285" s="633"/>
      <c r="BO285" s="634"/>
      <c r="BP285" s="632"/>
      <c r="BQ285" s="635"/>
      <c r="BR285" s="513">
        <f t="shared" si="75"/>
        <v>34665</v>
      </c>
      <c r="BS285" s="514">
        <f t="shared" si="75"/>
        <v>0</v>
      </c>
      <c r="BT285" s="515">
        <f t="shared" si="75"/>
        <v>0</v>
      </c>
      <c r="BU285" s="636"/>
      <c r="BV285" s="637"/>
      <c r="BW285" s="638"/>
    </row>
    <row r="286" spans="1:75" s="598" customFormat="1" ht="36">
      <c r="A286" s="470" t="s">
        <v>49</v>
      </c>
      <c r="B286" s="471">
        <v>12</v>
      </c>
      <c r="C286" s="471" t="s">
        <v>21</v>
      </c>
      <c r="D286" s="521">
        <v>3213</v>
      </c>
      <c r="E286" s="522" t="s">
        <v>64</v>
      </c>
      <c r="F286" s="474" t="s">
        <v>690</v>
      </c>
      <c r="G286" s="628">
        <f t="shared" si="73"/>
        <v>1013</v>
      </c>
      <c r="H286" s="629">
        <f t="shared" si="73"/>
        <v>0</v>
      </c>
      <c r="I286" s="499">
        <f t="shared" si="73"/>
        <v>0</v>
      </c>
      <c r="J286" s="631"/>
      <c r="K286" s="632"/>
      <c r="L286" s="633"/>
      <c r="M286" s="634"/>
      <c r="N286" s="632"/>
      <c r="O286" s="635"/>
      <c r="P286" s="631"/>
      <c r="Q286" s="632"/>
      <c r="R286" s="633"/>
      <c r="S286" s="634"/>
      <c r="T286" s="632"/>
      <c r="U286" s="635"/>
      <c r="V286" s="631"/>
      <c r="W286" s="632"/>
      <c r="X286" s="633"/>
      <c r="Y286" s="505">
        <f t="shared" si="74"/>
        <v>0</v>
      </c>
      <c r="Z286" s="506">
        <f t="shared" si="74"/>
        <v>0</v>
      </c>
      <c r="AA286" s="507">
        <f t="shared" si="74"/>
        <v>0</v>
      </c>
      <c r="AB286" s="631"/>
      <c r="AC286" s="632"/>
      <c r="AD286" s="633"/>
      <c r="AE286" s="634"/>
      <c r="AF286" s="632"/>
      <c r="AG286" s="635"/>
      <c r="AH286" s="631"/>
      <c r="AI286" s="632"/>
      <c r="AJ286" s="633"/>
      <c r="AK286" s="634"/>
      <c r="AL286" s="632"/>
      <c r="AM286" s="635"/>
      <c r="AN286" s="631"/>
      <c r="AO286" s="632"/>
      <c r="AP286" s="633"/>
      <c r="AQ286" s="634"/>
      <c r="AR286" s="632"/>
      <c r="AS286" s="635"/>
      <c r="AT286" s="631"/>
      <c r="AU286" s="632"/>
      <c r="AV286" s="633"/>
      <c r="AW286" s="618">
        <v>1013</v>
      </c>
      <c r="AX286" s="632"/>
      <c r="AY286" s="635"/>
      <c r="AZ286" s="631"/>
      <c r="BA286" s="632"/>
      <c r="BB286" s="633"/>
      <c r="BC286" s="634"/>
      <c r="BD286" s="632"/>
      <c r="BE286" s="635"/>
      <c r="BF286" s="631"/>
      <c r="BG286" s="632"/>
      <c r="BH286" s="633"/>
      <c r="BI286" s="634"/>
      <c r="BJ286" s="632"/>
      <c r="BK286" s="635"/>
      <c r="BL286" s="631"/>
      <c r="BM286" s="632"/>
      <c r="BN286" s="633"/>
      <c r="BO286" s="634"/>
      <c r="BP286" s="632"/>
      <c r="BQ286" s="635"/>
      <c r="BR286" s="513">
        <f t="shared" si="75"/>
        <v>1013</v>
      </c>
      <c r="BS286" s="514">
        <f t="shared" si="75"/>
        <v>0</v>
      </c>
      <c r="BT286" s="515">
        <f t="shared" si="75"/>
        <v>0</v>
      </c>
      <c r="BU286" s="636"/>
      <c r="BV286" s="637"/>
      <c r="BW286" s="638"/>
    </row>
    <row r="287" spans="1:75" s="598" customFormat="1" ht="36">
      <c r="A287" s="470" t="s">
        <v>49</v>
      </c>
      <c r="B287" s="471">
        <v>12</v>
      </c>
      <c r="C287" s="471" t="s">
        <v>21</v>
      </c>
      <c r="D287" s="521">
        <v>3233</v>
      </c>
      <c r="E287" s="522" t="s">
        <v>81</v>
      </c>
      <c r="F287" s="474" t="s">
        <v>690</v>
      </c>
      <c r="G287" s="628">
        <f t="shared" si="73"/>
        <v>240</v>
      </c>
      <c r="H287" s="629">
        <f t="shared" si="73"/>
        <v>1125</v>
      </c>
      <c r="I287" s="499">
        <f t="shared" si="73"/>
        <v>0</v>
      </c>
      <c r="J287" s="631"/>
      <c r="K287" s="632"/>
      <c r="L287" s="633"/>
      <c r="M287" s="634"/>
      <c r="N287" s="632"/>
      <c r="O287" s="635"/>
      <c r="P287" s="631"/>
      <c r="Q287" s="632"/>
      <c r="R287" s="633"/>
      <c r="S287" s="634"/>
      <c r="T287" s="632"/>
      <c r="U287" s="635"/>
      <c r="V287" s="631"/>
      <c r="W287" s="632"/>
      <c r="X287" s="633"/>
      <c r="Y287" s="505">
        <f t="shared" si="74"/>
        <v>0</v>
      </c>
      <c r="Z287" s="506">
        <f t="shared" si="74"/>
        <v>0</v>
      </c>
      <c r="AA287" s="507">
        <f t="shared" si="74"/>
        <v>0</v>
      </c>
      <c r="AB287" s="631"/>
      <c r="AC287" s="632"/>
      <c r="AD287" s="633"/>
      <c r="AE287" s="634"/>
      <c r="AF287" s="632"/>
      <c r="AG287" s="635"/>
      <c r="AH287" s="631"/>
      <c r="AI287" s="632"/>
      <c r="AJ287" s="633"/>
      <c r="AK287" s="634"/>
      <c r="AL287" s="632"/>
      <c r="AM287" s="635"/>
      <c r="AN287" s="631"/>
      <c r="AO287" s="632"/>
      <c r="AP287" s="633"/>
      <c r="AQ287" s="634"/>
      <c r="AR287" s="632"/>
      <c r="AS287" s="635"/>
      <c r="AT287" s="631"/>
      <c r="AU287" s="632"/>
      <c r="AV287" s="633"/>
      <c r="AW287" s="618">
        <v>240</v>
      </c>
      <c r="AX287" s="616">
        <f>1125</f>
        <v>1125</v>
      </c>
      <c r="AY287" s="635"/>
      <c r="AZ287" s="631"/>
      <c r="BA287" s="632"/>
      <c r="BB287" s="633"/>
      <c r="BC287" s="634"/>
      <c r="BD287" s="632"/>
      <c r="BE287" s="635"/>
      <c r="BF287" s="631"/>
      <c r="BG287" s="632"/>
      <c r="BH287" s="633"/>
      <c r="BI287" s="634"/>
      <c r="BJ287" s="632"/>
      <c r="BK287" s="635"/>
      <c r="BL287" s="631"/>
      <c r="BM287" s="632"/>
      <c r="BN287" s="633"/>
      <c r="BO287" s="634"/>
      <c r="BP287" s="632"/>
      <c r="BQ287" s="635"/>
      <c r="BR287" s="513">
        <f t="shared" si="75"/>
        <v>240</v>
      </c>
      <c r="BS287" s="514">
        <f t="shared" si="75"/>
        <v>1125</v>
      </c>
      <c r="BT287" s="515">
        <f t="shared" si="75"/>
        <v>0</v>
      </c>
      <c r="BU287" s="636"/>
      <c r="BV287" s="637"/>
      <c r="BW287" s="638"/>
    </row>
    <row r="288" spans="1:75" s="598" customFormat="1" ht="36">
      <c r="A288" s="470" t="s">
        <v>49</v>
      </c>
      <c r="B288" s="471">
        <v>12</v>
      </c>
      <c r="C288" s="471" t="s">
        <v>21</v>
      </c>
      <c r="D288" s="521">
        <v>3237</v>
      </c>
      <c r="E288" s="522" t="s">
        <v>62</v>
      </c>
      <c r="F288" s="474" t="s">
        <v>690</v>
      </c>
      <c r="G288" s="628">
        <f t="shared" si="73"/>
        <v>79110</v>
      </c>
      <c r="H288" s="629">
        <f t="shared" si="73"/>
        <v>0</v>
      </c>
      <c r="I288" s="499">
        <f t="shared" si="73"/>
        <v>0</v>
      </c>
      <c r="J288" s="631"/>
      <c r="K288" s="632"/>
      <c r="L288" s="633"/>
      <c r="M288" s="634"/>
      <c r="N288" s="632"/>
      <c r="O288" s="635"/>
      <c r="P288" s="631"/>
      <c r="Q288" s="632"/>
      <c r="R288" s="633"/>
      <c r="S288" s="634"/>
      <c r="T288" s="632"/>
      <c r="U288" s="635"/>
      <c r="V288" s="631"/>
      <c r="W288" s="632"/>
      <c r="X288" s="633"/>
      <c r="Y288" s="505">
        <f t="shared" si="74"/>
        <v>0</v>
      </c>
      <c r="Z288" s="506">
        <f t="shared" si="74"/>
        <v>0</v>
      </c>
      <c r="AA288" s="507">
        <f t="shared" si="74"/>
        <v>0</v>
      </c>
      <c r="AB288" s="631"/>
      <c r="AC288" s="632"/>
      <c r="AD288" s="633"/>
      <c r="AE288" s="634"/>
      <c r="AF288" s="632"/>
      <c r="AG288" s="635"/>
      <c r="AH288" s="631"/>
      <c r="AI288" s="632"/>
      <c r="AJ288" s="633"/>
      <c r="AK288" s="634"/>
      <c r="AL288" s="632"/>
      <c r="AM288" s="635"/>
      <c r="AN288" s="615">
        <v>28500</v>
      </c>
      <c r="AO288" s="632"/>
      <c r="AP288" s="633"/>
      <c r="AQ288" s="634"/>
      <c r="AR288" s="632"/>
      <c r="AS288" s="635"/>
      <c r="AT288" s="631"/>
      <c r="AU288" s="632"/>
      <c r="AV288" s="633"/>
      <c r="AW288" s="618">
        <f>23250+27360</f>
        <v>50610</v>
      </c>
      <c r="AX288" s="632"/>
      <c r="AY288" s="635"/>
      <c r="AZ288" s="631"/>
      <c r="BA288" s="632"/>
      <c r="BB288" s="633"/>
      <c r="BC288" s="634"/>
      <c r="BD288" s="632"/>
      <c r="BE288" s="635"/>
      <c r="BF288" s="631"/>
      <c r="BG288" s="632"/>
      <c r="BH288" s="633"/>
      <c r="BI288" s="634"/>
      <c r="BJ288" s="632"/>
      <c r="BK288" s="635"/>
      <c r="BL288" s="631"/>
      <c r="BM288" s="632"/>
      <c r="BN288" s="633"/>
      <c r="BO288" s="634"/>
      <c r="BP288" s="632"/>
      <c r="BQ288" s="635"/>
      <c r="BR288" s="513">
        <f t="shared" si="75"/>
        <v>79110</v>
      </c>
      <c r="BS288" s="514">
        <f t="shared" si="75"/>
        <v>0</v>
      </c>
      <c r="BT288" s="515">
        <f t="shared" si="75"/>
        <v>0</v>
      </c>
      <c r="BU288" s="636"/>
      <c r="BV288" s="637"/>
      <c r="BW288" s="638"/>
    </row>
    <row r="289" spans="1:75" s="598" customFormat="1" ht="36">
      <c r="A289" s="470" t="s">
        <v>49</v>
      </c>
      <c r="B289" s="471">
        <v>12</v>
      </c>
      <c r="C289" s="471" t="s">
        <v>21</v>
      </c>
      <c r="D289" s="521">
        <v>3239</v>
      </c>
      <c r="E289" s="522" t="s">
        <v>66</v>
      </c>
      <c r="F289" s="474" t="s">
        <v>690</v>
      </c>
      <c r="G289" s="628">
        <f t="shared" si="73"/>
        <v>1350</v>
      </c>
      <c r="H289" s="629">
        <f t="shared" si="73"/>
        <v>0</v>
      </c>
      <c r="I289" s="499">
        <f t="shared" si="73"/>
        <v>0</v>
      </c>
      <c r="J289" s="631"/>
      <c r="K289" s="632"/>
      <c r="L289" s="633"/>
      <c r="M289" s="634"/>
      <c r="N289" s="632"/>
      <c r="O289" s="635"/>
      <c r="P289" s="631"/>
      <c r="Q289" s="632"/>
      <c r="R289" s="633"/>
      <c r="S289" s="634"/>
      <c r="T289" s="632"/>
      <c r="U289" s="635"/>
      <c r="V289" s="631"/>
      <c r="W289" s="632"/>
      <c r="X289" s="633"/>
      <c r="Y289" s="505">
        <f t="shared" si="74"/>
        <v>0</v>
      </c>
      <c r="Z289" s="506">
        <f t="shared" si="74"/>
        <v>0</v>
      </c>
      <c r="AA289" s="507">
        <f t="shared" si="74"/>
        <v>0</v>
      </c>
      <c r="AB289" s="631"/>
      <c r="AC289" s="632"/>
      <c r="AD289" s="633"/>
      <c r="AE289" s="634"/>
      <c r="AF289" s="632"/>
      <c r="AG289" s="635"/>
      <c r="AH289" s="631"/>
      <c r="AI289" s="632"/>
      <c r="AJ289" s="633"/>
      <c r="AK289" s="634"/>
      <c r="AL289" s="632"/>
      <c r="AM289" s="635"/>
      <c r="AN289" s="615"/>
      <c r="AO289" s="632"/>
      <c r="AP289" s="633"/>
      <c r="AQ289" s="634"/>
      <c r="AR289" s="632"/>
      <c r="AS289" s="635"/>
      <c r="AT289" s="631"/>
      <c r="AU289" s="632"/>
      <c r="AV289" s="633"/>
      <c r="AW289" s="618">
        <v>1350</v>
      </c>
      <c r="AX289" s="632"/>
      <c r="AY289" s="635"/>
      <c r="AZ289" s="631"/>
      <c r="BA289" s="632"/>
      <c r="BB289" s="633"/>
      <c r="BC289" s="634"/>
      <c r="BD289" s="632"/>
      <c r="BE289" s="635"/>
      <c r="BF289" s="631"/>
      <c r="BG289" s="632"/>
      <c r="BH289" s="633"/>
      <c r="BI289" s="634"/>
      <c r="BJ289" s="632"/>
      <c r="BK289" s="635"/>
      <c r="BL289" s="631"/>
      <c r="BM289" s="632"/>
      <c r="BN289" s="633"/>
      <c r="BO289" s="634"/>
      <c r="BP289" s="632"/>
      <c r="BQ289" s="635"/>
      <c r="BR289" s="513">
        <f t="shared" si="75"/>
        <v>1350</v>
      </c>
      <c r="BS289" s="514">
        <f t="shared" si="75"/>
        <v>0</v>
      </c>
      <c r="BT289" s="515">
        <f t="shared" si="75"/>
        <v>0</v>
      </c>
      <c r="BU289" s="636"/>
      <c r="BV289" s="637"/>
      <c r="BW289" s="638"/>
    </row>
    <row r="290" spans="1:75" s="598" customFormat="1" ht="36">
      <c r="A290" s="470" t="s">
        <v>49</v>
      </c>
      <c r="B290" s="471">
        <v>12</v>
      </c>
      <c r="C290" s="471" t="s">
        <v>21</v>
      </c>
      <c r="D290" s="521">
        <v>3241</v>
      </c>
      <c r="E290" s="522" t="s">
        <v>67</v>
      </c>
      <c r="F290" s="474" t="s">
        <v>690</v>
      </c>
      <c r="G290" s="497">
        <f t="shared" si="73"/>
        <v>10500</v>
      </c>
      <c r="H290" s="498">
        <f t="shared" si="73"/>
        <v>0</v>
      </c>
      <c r="I290" s="499">
        <f t="shared" si="73"/>
        <v>0</v>
      </c>
      <c r="J290" s="631"/>
      <c r="K290" s="632"/>
      <c r="L290" s="633"/>
      <c r="M290" s="634"/>
      <c r="N290" s="632"/>
      <c r="O290" s="635"/>
      <c r="P290" s="631"/>
      <c r="Q290" s="632"/>
      <c r="R290" s="633"/>
      <c r="S290" s="634"/>
      <c r="T290" s="632"/>
      <c r="U290" s="635"/>
      <c r="V290" s="631"/>
      <c r="W290" s="632"/>
      <c r="X290" s="633"/>
      <c r="Y290" s="505">
        <f t="shared" si="74"/>
        <v>0</v>
      </c>
      <c r="Z290" s="506">
        <f t="shared" si="74"/>
        <v>0</v>
      </c>
      <c r="AA290" s="507">
        <f t="shared" si="74"/>
        <v>0</v>
      </c>
      <c r="AB290" s="631"/>
      <c r="AC290" s="632"/>
      <c r="AD290" s="633"/>
      <c r="AE290" s="634"/>
      <c r="AF290" s="632"/>
      <c r="AG290" s="635"/>
      <c r="AH290" s="631"/>
      <c r="AI290" s="632"/>
      <c r="AJ290" s="633"/>
      <c r="AK290" s="634"/>
      <c r="AL290" s="632"/>
      <c r="AM290" s="635"/>
      <c r="AN290" s="615"/>
      <c r="AO290" s="632"/>
      <c r="AP290" s="633"/>
      <c r="AQ290" s="634"/>
      <c r="AR290" s="632"/>
      <c r="AS290" s="635"/>
      <c r="AT290" s="631"/>
      <c r="AU290" s="632"/>
      <c r="AV290" s="633"/>
      <c r="AW290" s="618">
        <v>10500</v>
      </c>
      <c r="AX290" s="632"/>
      <c r="AY290" s="635"/>
      <c r="AZ290" s="631"/>
      <c r="BA290" s="632"/>
      <c r="BB290" s="633"/>
      <c r="BC290" s="634"/>
      <c r="BD290" s="632"/>
      <c r="BE290" s="635"/>
      <c r="BF290" s="631"/>
      <c r="BG290" s="632"/>
      <c r="BH290" s="633"/>
      <c r="BI290" s="634"/>
      <c r="BJ290" s="632"/>
      <c r="BK290" s="635"/>
      <c r="BL290" s="631"/>
      <c r="BM290" s="632"/>
      <c r="BN290" s="633"/>
      <c r="BO290" s="634"/>
      <c r="BP290" s="632"/>
      <c r="BQ290" s="635"/>
      <c r="BR290" s="513">
        <f t="shared" si="75"/>
        <v>10500</v>
      </c>
      <c r="BS290" s="514">
        <f t="shared" si="75"/>
        <v>0</v>
      </c>
      <c r="BT290" s="515">
        <f t="shared" si="75"/>
        <v>0</v>
      </c>
      <c r="BU290" s="636"/>
      <c r="BV290" s="637"/>
      <c r="BW290" s="638"/>
    </row>
    <row r="291" spans="1:75" s="598" customFormat="1" ht="36">
      <c r="A291" s="470" t="s">
        <v>49</v>
      </c>
      <c r="B291" s="471">
        <v>12</v>
      </c>
      <c r="C291" s="471" t="s">
        <v>21</v>
      </c>
      <c r="D291" s="521">
        <v>3293</v>
      </c>
      <c r="E291" s="522" t="s">
        <v>68</v>
      </c>
      <c r="F291" s="474" t="s">
        <v>690</v>
      </c>
      <c r="G291" s="497">
        <f t="shared" si="73"/>
        <v>15450</v>
      </c>
      <c r="H291" s="498">
        <f t="shared" si="73"/>
        <v>2775</v>
      </c>
      <c r="I291" s="499">
        <f t="shared" si="73"/>
        <v>0</v>
      </c>
      <c r="J291" s="631"/>
      <c r="K291" s="632"/>
      <c r="L291" s="633"/>
      <c r="M291" s="634"/>
      <c r="N291" s="632"/>
      <c r="O291" s="635"/>
      <c r="P291" s="631"/>
      <c r="Q291" s="632"/>
      <c r="R291" s="633"/>
      <c r="S291" s="634"/>
      <c r="T291" s="632"/>
      <c r="U291" s="635"/>
      <c r="V291" s="631"/>
      <c r="W291" s="632"/>
      <c r="X291" s="633"/>
      <c r="Y291" s="505">
        <f t="shared" si="74"/>
        <v>0</v>
      </c>
      <c r="Z291" s="506">
        <f t="shared" si="74"/>
        <v>0</v>
      </c>
      <c r="AA291" s="507">
        <f t="shared" si="74"/>
        <v>0</v>
      </c>
      <c r="AB291" s="631"/>
      <c r="AC291" s="632"/>
      <c r="AD291" s="633"/>
      <c r="AE291" s="634"/>
      <c r="AF291" s="632"/>
      <c r="AG291" s="635"/>
      <c r="AH291" s="631"/>
      <c r="AI291" s="632"/>
      <c r="AJ291" s="633"/>
      <c r="AK291" s="634"/>
      <c r="AL291" s="632"/>
      <c r="AM291" s="635"/>
      <c r="AN291" s="615">
        <v>15000</v>
      </c>
      <c r="AO291" s="632"/>
      <c r="AP291" s="633"/>
      <c r="AQ291" s="634"/>
      <c r="AR291" s="632"/>
      <c r="AS291" s="635"/>
      <c r="AT291" s="631"/>
      <c r="AU291" s="632"/>
      <c r="AV291" s="633"/>
      <c r="AW291" s="618">
        <v>450</v>
      </c>
      <c r="AX291" s="616">
        <v>2775</v>
      </c>
      <c r="AY291" s="635"/>
      <c r="AZ291" s="631"/>
      <c r="BA291" s="632"/>
      <c r="BB291" s="633"/>
      <c r="BC291" s="634"/>
      <c r="BD291" s="632"/>
      <c r="BE291" s="635"/>
      <c r="BF291" s="631"/>
      <c r="BG291" s="632"/>
      <c r="BH291" s="633"/>
      <c r="BI291" s="634"/>
      <c r="BJ291" s="632"/>
      <c r="BK291" s="635"/>
      <c r="BL291" s="631"/>
      <c r="BM291" s="632"/>
      <c r="BN291" s="633"/>
      <c r="BO291" s="634"/>
      <c r="BP291" s="632"/>
      <c r="BQ291" s="635"/>
      <c r="BR291" s="513">
        <f t="shared" si="75"/>
        <v>15450</v>
      </c>
      <c r="BS291" s="514">
        <f t="shared" si="75"/>
        <v>2775</v>
      </c>
      <c r="BT291" s="515">
        <f t="shared" si="75"/>
        <v>0</v>
      </c>
      <c r="BU291" s="636"/>
      <c r="BV291" s="637"/>
      <c r="BW291" s="638"/>
    </row>
    <row r="292" spans="1:75" s="598" customFormat="1" ht="36">
      <c r="A292" s="470" t="s">
        <v>49</v>
      </c>
      <c r="B292" s="471">
        <v>12</v>
      </c>
      <c r="C292" s="471" t="s">
        <v>21</v>
      </c>
      <c r="D292" s="521">
        <v>3299</v>
      </c>
      <c r="E292" s="522" t="s">
        <v>57</v>
      </c>
      <c r="F292" s="474" t="s">
        <v>690</v>
      </c>
      <c r="G292" s="497">
        <f t="shared" si="73"/>
        <v>0</v>
      </c>
      <c r="H292" s="498">
        <f t="shared" si="73"/>
        <v>1178</v>
      </c>
      <c r="I292" s="499">
        <f t="shared" si="73"/>
        <v>0</v>
      </c>
      <c r="J292" s="631"/>
      <c r="K292" s="632"/>
      <c r="L292" s="633"/>
      <c r="M292" s="634"/>
      <c r="N292" s="632"/>
      <c r="O292" s="635"/>
      <c r="P292" s="631"/>
      <c r="Q292" s="632"/>
      <c r="R292" s="633"/>
      <c r="S292" s="634"/>
      <c r="T292" s="632"/>
      <c r="U292" s="635"/>
      <c r="V292" s="631"/>
      <c r="W292" s="632"/>
      <c r="X292" s="633"/>
      <c r="Y292" s="505">
        <f t="shared" si="74"/>
        <v>0</v>
      </c>
      <c r="Z292" s="506">
        <f t="shared" si="74"/>
        <v>0</v>
      </c>
      <c r="AA292" s="507">
        <f t="shared" si="74"/>
        <v>0</v>
      </c>
      <c r="AB292" s="631"/>
      <c r="AC292" s="632"/>
      <c r="AD292" s="633"/>
      <c r="AE292" s="634"/>
      <c r="AF292" s="632"/>
      <c r="AG292" s="635"/>
      <c r="AH292" s="631"/>
      <c r="AI292" s="632"/>
      <c r="AJ292" s="633"/>
      <c r="AK292" s="634"/>
      <c r="AL292" s="632"/>
      <c r="AM292" s="635"/>
      <c r="AN292" s="631"/>
      <c r="AO292" s="632"/>
      <c r="AP292" s="633"/>
      <c r="AQ292" s="634"/>
      <c r="AR292" s="632"/>
      <c r="AS292" s="635"/>
      <c r="AT292" s="631"/>
      <c r="AU292" s="632"/>
      <c r="AV292" s="633"/>
      <c r="AW292" s="618">
        <v>0</v>
      </c>
      <c r="AX292" s="616">
        <v>1178</v>
      </c>
      <c r="AY292" s="635"/>
      <c r="AZ292" s="631"/>
      <c r="BA292" s="632"/>
      <c r="BB292" s="633"/>
      <c r="BC292" s="634"/>
      <c r="BD292" s="632"/>
      <c r="BE292" s="635"/>
      <c r="BF292" s="631"/>
      <c r="BG292" s="632"/>
      <c r="BH292" s="633"/>
      <c r="BI292" s="634"/>
      <c r="BJ292" s="632"/>
      <c r="BK292" s="635"/>
      <c r="BL292" s="631"/>
      <c r="BM292" s="632"/>
      <c r="BN292" s="633"/>
      <c r="BO292" s="634"/>
      <c r="BP292" s="632"/>
      <c r="BQ292" s="635"/>
      <c r="BR292" s="513">
        <f t="shared" si="75"/>
        <v>0</v>
      </c>
      <c r="BS292" s="514">
        <f t="shared" si="75"/>
        <v>1178</v>
      </c>
      <c r="BT292" s="515">
        <f t="shared" si="75"/>
        <v>0</v>
      </c>
      <c r="BU292" s="636"/>
      <c r="BV292" s="637"/>
      <c r="BW292" s="638"/>
    </row>
    <row r="293" spans="1:75" s="598" customFormat="1" ht="48">
      <c r="A293" s="470" t="s">
        <v>49</v>
      </c>
      <c r="B293" s="471">
        <v>12</v>
      </c>
      <c r="C293" s="471" t="s">
        <v>21</v>
      </c>
      <c r="D293" s="521">
        <v>3691</v>
      </c>
      <c r="E293" s="522" t="s">
        <v>36</v>
      </c>
      <c r="F293" s="474" t="s">
        <v>690</v>
      </c>
      <c r="G293" s="497">
        <f t="shared" si="73"/>
        <v>42049</v>
      </c>
      <c r="H293" s="498">
        <f t="shared" si="73"/>
        <v>0</v>
      </c>
      <c r="I293" s="499">
        <f t="shared" si="73"/>
        <v>0</v>
      </c>
      <c r="J293" s="631"/>
      <c r="K293" s="632"/>
      <c r="L293" s="633"/>
      <c r="M293" s="634"/>
      <c r="N293" s="632"/>
      <c r="O293" s="635"/>
      <c r="P293" s="631"/>
      <c r="Q293" s="632"/>
      <c r="R293" s="633"/>
      <c r="S293" s="634"/>
      <c r="T293" s="632"/>
      <c r="U293" s="635"/>
      <c r="V293" s="631"/>
      <c r="W293" s="632"/>
      <c r="X293" s="633"/>
      <c r="Y293" s="505">
        <f t="shared" si="74"/>
        <v>0</v>
      </c>
      <c r="Z293" s="506">
        <f t="shared" si="74"/>
        <v>0</v>
      </c>
      <c r="AA293" s="507">
        <f t="shared" si="74"/>
        <v>0</v>
      </c>
      <c r="AB293" s="631"/>
      <c r="AC293" s="632"/>
      <c r="AD293" s="633"/>
      <c r="AE293" s="634"/>
      <c r="AF293" s="632"/>
      <c r="AG293" s="635"/>
      <c r="AH293" s="631"/>
      <c r="AI293" s="632"/>
      <c r="AJ293" s="633"/>
      <c r="AK293" s="634"/>
      <c r="AL293" s="632"/>
      <c r="AM293" s="635"/>
      <c r="AN293" s="615">
        <f>87223-45174</f>
        <v>42049</v>
      </c>
      <c r="AO293" s="632"/>
      <c r="AP293" s="633"/>
      <c r="AQ293" s="634"/>
      <c r="AR293" s="632"/>
      <c r="AS293" s="635"/>
      <c r="AT293" s="631"/>
      <c r="AU293" s="632"/>
      <c r="AV293" s="633"/>
      <c r="AW293" s="634"/>
      <c r="AX293" s="632"/>
      <c r="AY293" s="635"/>
      <c r="AZ293" s="631"/>
      <c r="BA293" s="632"/>
      <c r="BB293" s="633"/>
      <c r="BC293" s="634"/>
      <c r="BD293" s="632"/>
      <c r="BE293" s="635"/>
      <c r="BF293" s="631"/>
      <c r="BG293" s="632"/>
      <c r="BH293" s="633"/>
      <c r="BI293" s="634"/>
      <c r="BJ293" s="632"/>
      <c r="BK293" s="635"/>
      <c r="BL293" s="631"/>
      <c r="BM293" s="632"/>
      <c r="BN293" s="633"/>
      <c r="BO293" s="634"/>
      <c r="BP293" s="632"/>
      <c r="BQ293" s="635"/>
      <c r="BR293" s="513">
        <f t="shared" si="75"/>
        <v>42049</v>
      </c>
      <c r="BS293" s="514">
        <f t="shared" si="75"/>
        <v>0</v>
      </c>
      <c r="BT293" s="515">
        <f t="shared" si="75"/>
        <v>0</v>
      </c>
      <c r="BU293" s="636"/>
      <c r="BV293" s="637"/>
      <c r="BW293" s="638"/>
    </row>
    <row r="294" spans="1:75" s="598" customFormat="1" ht="36">
      <c r="A294" s="470" t="s">
        <v>49</v>
      </c>
      <c r="B294" s="471">
        <v>12</v>
      </c>
      <c r="C294" s="471" t="s">
        <v>21</v>
      </c>
      <c r="D294" s="521">
        <v>4221</v>
      </c>
      <c r="E294" s="522" t="s">
        <v>63</v>
      </c>
      <c r="F294" s="474" t="s">
        <v>690</v>
      </c>
      <c r="G294" s="628">
        <f t="shared" si="73"/>
        <v>47795</v>
      </c>
      <c r="H294" s="498">
        <f t="shared" si="73"/>
        <v>0</v>
      </c>
      <c r="I294" s="499">
        <f t="shared" si="73"/>
        <v>0</v>
      </c>
      <c r="J294" s="631"/>
      <c r="K294" s="632"/>
      <c r="L294" s="633"/>
      <c r="M294" s="634"/>
      <c r="N294" s="632"/>
      <c r="O294" s="635"/>
      <c r="P294" s="631"/>
      <c r="Q294" s="632"/>
      <c r="R294" s="633"/>
      <c r="S294" s="634"/>
      <c r="T294" s="632"/>
      <c r="U294" s="635"/>
      <c r="V294" s="631"/>
      <c r="W294" s="632"/>
      <c r="X294" s="633"/>
      <c r="Y294" s="505">
        <f t="shared" si="74"/>
        <v>0</v>
      </c>
      <c r="Z294" s="506">
        <f t="shared" si="74"/>
        <v>0</v>
      </c>
      <c r="AA294" s="507">
        <f t="shared" si="74"/>
        <v>0</v>
      </c>
      <c r="AB294" s="631"/>
      <c r="AC294" s="632"/>
      <c r="AD294" s="633"/>
      <c r="AE294" s="634"/>
      <c r="AF294" s="632"/>
      <c r="AG294" s="635"/>
      <c r="AH294" s="631"/>
      <c r="AI294" s="632"/>
      <c r="AJ294" s="633"/>
      <c r="AK294" s="634"/>
      <c r="AL294" s="632"/>
      <c r="AM294" s="635"/>
      <c r="AN294" s="631"/>
      <c r="AO294" s="632"/>
      <c r="AP294" s="633"/>
      <c r="AQ294" s="634"/>
      <c r="AR294" s="632"/>
      <c r="AS294" s="635"/>
      <c r="AT294" s="631"/>
      <c r="AU294" s="632"/>
      <c r="AV294" s="633"/>
      <c r="AW294" s="618">
        <f>47795</f>
        <v>47795</v>
      </c>
      <c r="AX294" s="632"/>
      <c r="AY294" s="635"/>
      <c r="AZ294" s="631"/>
      <c r="BA294" s="632"/>
      <c r="BB294" s="633"/>
      <c r="BC294" s="634"/>
      <c r="BD294" s="632"/>
      <c r="BE294" s="635"/>
      <c r="BF294" s="631"/>
      <c r="BG294" s="632"/>
      <c r="BH294" s="633"/>
      <c r="BI294" s="634"/>
      <c r="BJ294" s="632"/>
      <c r="BK294" s="635"/>
      <c r="BL294" s="631"/>
      <c r="BM294" s="632"/>
      <c r="BN294" s="633"/>
      <c r="BO294" s="634"/>
      <c r="BP294" s="632"/>
      <c r="BQ294" s="635"/>
      <c r="BR294" s="513">
        <f t="shared" si="75"/>
        <v>47795</v>
      </c>
      <c r="BS294" s="514">
        <f t="shared" si="75"/>
        <v>0</v>
      </c>
      <c r="BT294" s="515">
        <f t="shared" si="75"/>
        <v>0</v>
      </c>
      <c r="BU294" s="636"/>
      <c r="BV294" s="637"/>
      <c r="BW294" s="638"/>
    </row>
    <row r="295" spans="1:75" ht="36">
      <c r="A295" s="519" t="s">
        <v>49</v>
      </c>
      <c r="B295" s="520">
        <v>12</v>
      </c>
      <c r="C295" s="520" t="s">
        <v>21</v>
      </c>
      <c r="D295" s="521">
        <v>4225</v>
      </c>
      <c r="E295" s="522" t="s">
        <v>85</v>
      </c>
      <c r="F295" s="523" t="s">
        <v>690</v>
      </c>
      <c r="G295" s="497">
        <f t="shared" si="73"/>
        <v>5015</v>
      </c>
      <c r="H295" s="498">
        <f t="shared" si="73"/>
        <v>0</v>
      </c>
      <c r="I295" s="499">
        <f t="shared" si="73"/>
        <v>0</v>
      </c>
      <c r="J295" s="500"/>
      <c r="K295" s="501"/>
      <c r="L295" s="502"/>
      <c r="M295" s="503"/>
      <c r="N295" s="501"/>
      <c r="O295" s="504"/>
      <c r="P295" s="500"/>
      <c r="Q295" s="501"/>
      <c r="R295" s="502"/>
      <c r="S295" s="503"/>
      <c r="T295" s="501"/>
      <c r="U295" s="504"/>
      <c r="V295" s="500"/>
      <c r="W295" s="501"/>
      <c r="X295" s="502"/>
      <c r="Y295" s="505">
        <f t="shared" si="74"/>
        <v>0</v>
      </c>
      <c r="Z295" s="506">
        <f t="shared" si="74"/>
        <v>0</v>
      </c>
      <c r="AA295" s="507">
        <f t="shared" si="74"/>
        <v>0</v>
      </c>
      <c r="AB295" s="500"/>
      <c r="AC295" s="501"/>
      <c r="AD295" s="502"/>
      <c r="AE295" s="503"/>
      <c r="AF295" s="501"/>
      <c r="AG295" s="504"/>
      <c r="AH295" s="500"/>
      <c r="AI295" s="501"/>
      <c r="AJ295" s="502"/>
      <c r="AK295" s="503"/>
      <c r="AL295" s="501"/>
      <c r="AM295" s="504"/>
      <c r="AN295" s="500"/>
      <c r="AO295" s="501"/>
      <c r="AP295" s="502"/>
      <c r="AQ295" s="503"/>
      <c r="AR295" s="501"/>
      <c r="AS295" s="504"/>
      <c r="AT295" s="500"/>
      <c r="AU295" s="501"/>
      <c r="AV295" s="502"/>
      <c r="AW295" s="618">
        <v>5015</v>
      </c>
      <c r="AX295" s="616"/>
      <c r="AY295" s="619"/>
      <c r="AZ295" s="500"/>
      <c r="BA295" s="501"/>
      <c r="BB295" s="502"/>
      <c r="BC295" s="503"/>
      <c r="BD295" s="501"/>
      <c r="BE295" s="504"/>
      <c r="BF295" s="500"/>
      <c r="BG295" s="501"/>
      <c r="BH295" s="502"/>
      <c r="BI295" s="503"/>
      <c r="BJ295" s="501"/>
      <c r="BK295" s="504"/>
      <c r="BL295" s="500"/>
      <c r="BM295" s="501"/>
      <c r="BN295" s="502"/>
      <c r="BO295" s="503"/>
      <c r="BP295" s="501"/>
      <c r="BQ295" s="504"/>
      <c r="BR295" s="513">
        <f t="shared" si="75"/>
        <v>5015</v>
      </c>
      <c r="BS295" s="514">
        <f t="shared" si="75"/>
        <v>0</v>
      </c>
      <c r="BT295" s="515">
        <f t="shared" si="75"/>
        <v>0</v>
      </c>
      <c r="BU295" s="516"/>
      <c r="BV295" s="517"/>
      <c r="BW295" s="518"/>
    </row>
    <row r="296" spans="1:75" ht="36.75" thickBot="1">
      <c r="A296" s="524" t="s">
        <v>49</v>
      </c>
      <c r="B296" s="525">
        <v>12</v>
      </c>
      <c r="C296" s="525" t="s">
        <v>21</v>
      </c>
      <c r="D296" s="526">
        <v>4227</v>
      </c>
      <c r="E296" s="527" t="s">
        <v>93</v>
      </c>
      <c r="F296" s="528" t="s">
        <v>690</v>
      </c>
      <c r="G296" s="529">
        <f t="shared" si="73"/>
        <v>3195</v>
      </c>
      <c r="H296" s="530">
        <f t="shared" si="73"/>
        <v>0</v>
      </c>
      <c r="I296" s="531">
        <f t="shared" si="73"/>
        <v>0</v>
      </c>
      <c r="J296" s="532"/>
      <c r="K296" s="533"/>
      <c r="L296" s="534"/>
      <c r="M296" s="535"/>
      <c r="N296" s="533"/>
      <c r="O296" s="536"/>
      <c r="P296" s="532"/>
      <c r="Q296" s="533"/>
      <c r="R296" s="534"/>
      <c r="S296" s="535"/>
      <c r="T296" s="533"/>
      <c r="U296" s="536"/>
      <c r="V296" s="532"/>
      <c r="W296" s="533"/>
      <c r="X296" s="534"/>
      <c r="Y296" s="537">
        <f t="shared" si="74"/>
        <v>0</v>
      </c>
      <c r="Z296" s="538">
        <f t="shared" si="74"/>
        <v>0</v>
      </c>
      <c r="AA296" s="539">
        <f t="shared" si="74"/>
        <v>0</v>
      </c>
      <c r="AB296" s="532"/>
      <c r="AC296" s="533"/>
      <c r="AD296" s="534"/>
      <c r="AE296" s="535"/>
      <c r="AF296" s="533"/>
      <c r="AG296" s="536"/>
      <c r="AH296" s="532"/>
      <c r="AI296" s="533"/>
      <c r="AJ296" s="534"/>
      <c r="AK296" s="535"/>
      <c r="AL296" s="533"/>
      <c r="AM296" s="536"/>
      <c r="AN296" s="532"/>
      <c r="AO296" s="533"/>
      <c r="AP296" s="534"/>
      <c r="AQ296" s="535"/>
      <c r="AR296" s="533"/>
      <c r="AS296" s="536"/>
      <c r="AT296" s="532"/>
      <c r="AU296" s="533"/>
      <c r="AV296" s="534"/>
      <c r="AW296" s="623">
        <v>3195</v>
      </c>
      <c r="AX296" s="621"/>
      <c r="AY296" s="624"/>
      <c r="AZ296" s="532"/>
      <c r="BA296" s="533"/>
      <c r="BB296" s="534"/>
      <c r="BC296" s="535"/>
      <c r="BD296" s="533"/>
      <c r="BE296" s="536"/>
      <c r="BF296" s="532"/>
      <c r="BG296" s="533"/>
      <c r="BH296" s="534"/>
      <c r="BI296" s="535"/>
      <c r="BJ296" s="533"/>
      <c r="BK296" s="536"/>
      <c r="BL296" s="532"/>
      <c r="BM296" s="533"/>
      <c r="BN296" s="534"/>
      <c r="BO296" s="535"/>
      <c r="BP296" s="533"/>
      <c r="BQ296" s="536"/>
      <c r="BR296" s="546">
        <f t="shared" si="75"/>
        <v>3195</v>
      </c>
      <c r="BS296" s="547">
        <f t="shared" si="75"/>
        <v>0</v>
      </c>
      <c r="BT296" s="548">
        <f t="shared" si="75"/>
        <v>0</v>
      </c>
      <c r="BU296" s="549"/>
      <c r="BV296" s="550"/>
      <c r="BW296" s="551"/>
    </row>
    <row r="297" spans="1:75" ht="36.75" thickBot="1">
      <c r="A297" s="581" t="s">
        <v>49</v>
      </c>
      <c r="B297" s="554">
        <v>12</v>
      </c>
      <c r="C297" s="554" t="s">
        <v>21</v>
      </c>
      <c r="D297" s="555"/>
      <c r="E297" s="556" t="s">
        <v>161</v>
      </c>
      <c r="F297" s="557" t="s">
        <v>690</v>
      </c>
      <c r="G297" s="558">
        <f t="shared" ref="G297:BR297" si="76">SUM(G283:G296)</f>
        <v>278885</v>
      </c>
      <c r="H297" s="559">
        <f t="shared" si="76"/>
        <v>6862</v>
      </c>
      <c r="I297" s="560">
        <f t="shared" si="76"/>
        <v>0</v>
      </c>
      <c r="J297" s="561">
        <f t="shared" si="76"/>
        <v>0</v>
      </c>
      <c r="K297" s="559">
        <f t="shared" si="76"/>
        <v>0</v>
      </c>
      <c r="L297" s="562">
        <f t="shared" si="76"/>
        <v>0</v>
      </c>
      <c r="M297" s="558">
        <f t="shared" si="76"/>
        <v>0</v>
      </c>
      <c r="N297" s="559">
        <f t="shared" si="76"/>
        <v>0</v>
      </c>
      <c r="O297" s="560">
        <f t="shared" si="76"/>
        <v>0</v>
      </c>
      <c r="P297" s="561">
        <f t="shared" si="76"/>
        <v>0</v>
      </c>
      <c r="Q297" s="559">
        <f t="shared" si="76"/>
        <v>0</v>
      </c>
      <c r="R297" s="562">
        <f t="shared" si="76"/>
        <v>0</v>
      </c>
      <c r="S297" s="558">
        <f t="shared" si="76"/>
        <v>0</v>
      </c>
      <c r="T297" s="559">
        <f t="shared" si="76"/>
        <v>0</v>
      </c>
      <c r="U297" s="560">
        <f t="shared" si="76"/>
        <v>0</v>
      </c>
      <c r="V297" s="561">
        <f t="shared" si="76"/>
        <v>0</v>
      </c>
      <c r="W297" s="559">
        <f t="shared" si="76"/>
        <v>0</v>
      </c>
      <c r="X297" s="562">
        <f t="shared" si="76"/>
        <v>0</v>
      </c>
      <c r="Y297" s="558">
        <f t="shared" si="76"/>
        <v>0</v>
      </c>
      <c r="Z297" s="559">
        <f t="shared" si="76"/>
        <v>0</v>
      </c>
      <c r="AA297" s="560">
        <f t="shared" si="76"/>
        <v>0</v>
      </c>
      <c r="AB297" s="561">
        <f t="shared" si="76"/>
        <v>0</v>
      </c>
      <c r="AC297" s="559">
        <f t="shared" si="76"/>
        <v>0</v>
      </c>
      <c r="AD297" s="562">
        <f t="shared" si="76"/>
        <v>0</v>
      </c>
      <c r="AE297" s="558">
        <f t="shared" si="76"/>
        <v>0</v>
      </c>
      <c r="AF297" s="559">
        <f t="shared" si="76"/>
        <v>0</v>
      </c>
      <c r="AG297" s="560">
        <f t="shared" si="76"/>
        <v>0</v>
      </c>
      <c r="AH297" s="561">
        <f t="shared" si="76"/>
        <v>0</v>
      </c>
      <c r="AI297" s="559">
        <f t="shared" si="76"/>
        <v>0</v>
      </c>
      <c r="AJ297" s="562">
        <f t="shared" si="76"/>
        <v>0</v>
      </c>
      <c r="AK297" s="558">
        <f t="shared" si="76"/>
        <v>0</v>
      </c>
      <c r="AL297" s="559">
        <f t="shared" si="76"/>
        <v>0</v>
      </c>
      <c r="AM297" s="560">
        <f t="shared" si="76"/>
        <v>0</v>
      </c>
      <c r="AN297" s="561">
        <f t="shared" si="76"/>
        <v>100549</v>
      </c>
      <c r="AO297" s="559">
        <f t="shared" si="76"/>
        <v>0</v>
      </c>
      <c r="AP297" s="562">
        <f t="shared" si="76"/>
        <v>0</v>
      </c>
      <c r="AQ297" s="558">
        <f t="shared" si="76"/>
        <v>0</v>
      </c>
      <c r="AR297" s="559">
        <f t="shared" si="76"/>
        <v>0</v>
      </c>
      <c r="AS297" s="560">
        <f t="shared" si="76"/>
        <v>0</v>
      </c>
      <c r="AT297" s="561">
        <f t="shared" si="76"/>
        <v>0</v>
      </c>
      <c r="AU297" s="559">
        <f t="shared" si="76"/>
        <v>0</v>
      </c>
      <c r="AV297" s="562">
        <f t="shared" si="76"/>
        <v>0</v>
      </c>
      <c r="AW297" s="558">
        <f t="shared" si="76"/>
        <v>178336</v>
      </c>
      <c r="AX297" s="559">
        <f t="shared" si="76"/>
        <v>6862</v>
      </c>
      <c r="AY297" s="560">
        <f t="shared" si="76"/>
        <v>0</v>
      </c>
      <c r="AZ297" s="561">
        <f t="shared" si="76"/>
        <v>0</v>
      </c>
      <c r="BA297" s="559">
        <f t="shared" si="76"/>
        <v>0</v>
      </c>
      <c r="BB297" s="562">
        <f t="shared" si="76"/>
        <v>0</v>
      </c>
      <c r="BC297" s="558">
        <f t="shared" si="76"/>
        <v>0</v>
      </c>
      <c r="BD297" s="559">
        <f t="shared" si="76"/>
        <v>0</v>
      </c>
      <c r="BE297" s="560">
        <f t="shared" si="76"/>
        <v>0</v>
      </c>
      <c r="BF297" s="561">
        <f t="shared" si="76"/>
        <v>0</v>
      </c>
      <c r="BG297" s="559">
        <f t="shared" si="76"/>
        <v>0</v>
      </c>
      <c r="BH297" s="562">
        <f t="shared" si="76"/>
        <v>0</v>
      </c>
      <c r="BI297" s="558">
        <f t="shared" si="76"/>
        <v>0</v>
      </c>
      <c r="BJ297" s="559">
        <f t="shared" si="76"/>
        <v>0</v>
      </c>
      <c r="BK297" s="560">
        <f t="shared" si="76"/>
        <v>0</v>
      </c>
      <c r="BL297" s="561">
        <f t="shared" si="76"/>
        <v>0</v>
      </c>
      <c r="BM297" s="559">
        <f t="shared" si="76"/>
        <v>0</v>
      </c>
      <c r="BN297" s="562">
        <f t="shared" si="76"/>
        <v>0</v>
      </c>
      <c r="BO297" s="558">
        <f t="shared" si="76"/>
        <v>0</v>
      </c>
      <c r="BP297" s="559">
        <f t="shared" si="76"/>
        <v>0</v>
      </c>
      <c r="BQ297" s="560">
        <f t="shared" si="76"/>
        <v>0</v>
      </c>
      <c r="BR297" s="561">
        <f t="shared" si="76"/>
        <v>278885</v>
      </c>
      <c r="BS297" s="559">
        <f t="shared" ref="BS297:BW297" si="77">SUM(BS283:BS296)</f>
        <v>6862</v>
      </c>
      <c r="BT297" s="562">
        <f t="shared" si="77"/>
        <v>0</v>
      </c>
      <c r="BU297" s="558">
        <f t="shared" si="77"/>
        <v>0</v>
      </c>
      <c r="BV297" s="559">
        <f t="shared" si="77"/>
        <v>0</v>
      </c>
      <c r="BW297" s="560">
        <f t="shared" si="77"/>
        <v>0</v>
      </c>
    </row>
    <row r="298" spans="1:75" ht="36.75" thickBot="1">
      <c r="A298" s="588" t="s">
        <v>49</v>
      </c>
      <c r="B298" s="589">
        <v>12</v>
      </c>
      <c r="C298" s="589" t="s">
        <v>21</v>
      </c>
      <c r="D298" s="590"/>
      <c r="E298" s="591" t="s">
        <v>740</v>
      </c>
      <c r="F298" s="592"/>
      <c r="G298" s="593">
        <f t="shared" ref="G298:BR298" si="78">G282+G297</f>
        <v>2058038</v>
      </c>
      <c r="H298" s="594">
        <f t="shared" si="78"/>
        <v>6862</v>
      </c>
      <c r="I298" s="595">
        <f t="shared" si="78"/>
        <v>0</v>
      </c>
      <c r="J298" s="596">
        <f t="shared" si="78"/>
        <v>1779153</v>
      </c>
      <c r="K298" s="594">
        <f t="shared" si="78"/>
        <v>0</v>
      </c>
      <c r="L298" s="597">
        <f t="shared" si="78"/>
        <v>0</v>
      </c>
      <c r="M298" s="593">
        <f t="shared" si="78"/>
        <v>0</v>
      </c>
      <c r="N298" s="594">
        <f t="shared" si="78"/>
        <v>0</v>
      </c>
      <c r="O298" s="595">
        <f t="shared" si="78"/>
        <v>0</v>
      </c>
      <c r="P298" s="596">
        <f t="shared" si="78"/>
        <v>0</v>
      </c>
      <c r="Q298" s="594">
        <f t="shared" si="78"/>
        <v>0</v>
      </c>
      <c r="R298" s="597">
        <f t="shared" si="78"/>
        <v>0</v>
      </c>
      <c r="S298" s="593">
        <f t="shared" si="78"/>
        <v>0</v>
      </c>
      <c r="T298" s="594">
        <f t="shared" si="78"/>
        <v>0</v>
      </c>
      <c r="U298" s="595">
        <f t="shared" si="78"/>
        <v>0</v>
      </c>
      <c r="V298" s="596">
        <f t="shared" si="78"/>
        <v>0</v>
      </c>
      <c r="W298" s="594">
        <f t="shared" si="78"/>
        <v>0</v>
      </c>
      <c r="X298" s="597">
        <f t="shared" si="78"/>
        <v>0</v>
      </c>
      <c r="Y298" s="593">
        <f t="shared" si="78"/>
        <v>1779153</v>
      </c>
      <c r="Z298" s="594">
        <f t="shared" si="78"/>
        <v>0</v>
      </c>
      <c r="AA298" s="595">
        <f t="shared" si="78"/>
        <v>0</v>
      </c>
      <c r="AB298" s="596">
        <f t="shared" si="78"/>
        <v>0</v>
      </c>
      <c r="AC298" s="594">
        <f t="shared" si="78"/>
        <v>0</v>
      </c>
      <c r="AD298" s="597">
        <f t="shared" si="78"/>
        <v>0</v>
      </c>
      <c r="AE298" s="593">
        <f t="shared" si="78"/>
        <v>0</v>
      </c>
      <c r="AF298" s="594">
        <f t="shared" si="78"/>
        <v>0</v>
      </c>
      <c r="AG298" s="595">
        <f t="shared" si="78"/>
        <v>0</v>
      </c>
      <c r="AH298" s="596">
        <f t="shared" si="78"/>
        <v>0</v>
      </c>
      <c r="AI298" s="594">
        <f t="shared" si="78"/>
        <v>0</v>
      </c>
      <c r="AJ298" s="597">
        <f t="shared" si="78"/>
        <v>0</v>
      </c>
      <c r="AK298" s="593">
        <f t="shared" si="78"/>
        <v>0</v>
      </c>
      <c r="AL298" s="594">
        <f t="shared" si="78"/>
        <v>0</v>
      </c>
      <c r="AM298" s="595">
        <f t="shared" si="78"/>
        <v>0</v>
      </c>
      <c r="AN298" s="596">
        <f t="shared" si="78"/>
        <v>100549</v>
      </c>
      <c r="AO298" s="594">
        <f t="shared" si="78"/>
        <v>0</v>
      </c>
      <c r="AP298" s="597">
        <f t="shared" si="78"/>
        <v>0</v>
      </c>
      <c r="AQ298" s="593">
        <f t="shared" si="78"/>
        <v>0</v>
      </c>
      <c r="AR298" s="594">
        <f t="shared" si="78"/>
        <v>0</v>
      </c>
      <c r="AS298" s="595">
        <f t="shared" si="78"/>
        <v>0</v>
      </c>
      <c r="AT298" s="596">
        <f t="shared" si="78"/>
        <v>0</v>
      </c>
      <c r="AU298" s="594">
        <f t="shared" si="78"/>
        <v>0</v>
      </c>
      <c r="AV298" s="597">
        <f t="shared" si="78"/>
        <v>0</v>
      </c>
      <c r="AW298" s="593">
        <f t="shared" si="78"/>
        <v>178336</v>
      </c>
      <c r="AX298" s="594">
        <f t="shared" si="78"/>
        <v>6862</v>
      </c>
      <c r="AY298" s="595">
        <f t="shared" si="78"/>
        <v>0</v>
      </c>
      <c r="AZ298" s="596">
        <f t="shared" si="78"/>
        <v>0</v>
      </c>
      <c r="BA298" s="594">
        <f t="shared" si="78"/>
        <v>0</v>
      </c>
      <c r="BB298" s="597">
        <f t="shared" si="78"/>
        <v>0</v>
      </c>
      <c r="BC298" s="593">
        <f t="shared" si="78"/>
        <v>0</v>
      </c>
      <c r="BD298" s="594">
        <f t="shared" si="78"/>
        <v>0</v>
      </c>
      <c r="BE298" s="595">
        <f t="shared" si="78"/>
        <v>0</v>
      </c>
      <c r="BF298" s="596">
        <f t="shared" si="78"/>
        <v>0</v>
      </c>
      <c r="BG298" s="594">
        <f t="shared" si="78"/>
        <v>0</v>
      </c>
      <c r="BH298" s="597">
        <f t="shared" si="78"/>
        <v>0</v>
      </c>
      <c r="BI298" s="593">
        <f t="shared" si="78"/>
        <v>0</v>
      </c>
      <c r="BJ298" s="594">
        <f t="shared" si="78"/>
        <v>0</v>
      </c>
      <c r="BK298" s="595">
        <f t="shared" si="78"/>
        <v>0</v>
      </c>
      <c r="BL298" s="596">
        <f t="shared" si="78"/>
        <v>0</v>
      </c>
      <c r="BM298" s="594">
        <f t="shared" si="78"/>
        <v>0</v>
      </c>
      <c r="BN298" s="597">
        <f t="shared" si="78"/>
        <v>0</v>
      </c>
      <c r="BO298" s="593">
        <f t="shared" si="78"/>
        <v>0</v>
      </c>
      <c r="BP298" s="594">
        <f t="shared" si="78"/>
        <v>0</v>
      </c>
      <c r="BQ298" s="595">
        <f t="shared" si="78"/>
        <v>0</v>
      </c>
      <c r="BR298" s="596">
        <f t="shared" si="78"/>
        <v>2058038</v>
      </c>
      <c r="BS298" s="594">
        <f t="shared" ref="BS298:BW298" si="79">BS282+BS297</f>
        <v>6862</v>
      </c>
      <c r="BT298" s="597">
        <f t="shared" si="79"/>
        <v>0</v>
      </c>
      <c r="BU298" s="593">
        <f t="shared" si="79"/>
        <v>0</v>
      </c>
      <c r="BV298" s="594">
        <f t="shared" si="79"/>
        <v>0</v>
      </c>
      <c r="BW298" s="595">
        <f t="shared" si="79"/>
        <v>0</v>
      </c>
    </row>
    <row r="299" spans="1:75" ht="36">
      <c r="A299" s="470" t="s">
        <v>49</v>
      </c>
      <c r="B299" s="471">
        <v>561</v>
      </c>
      <c r="C299" s="471" t="s">
        <v>38</v>
      </c>
      <c r="D299" s="472">
        <v>3111</v>
      </c>
      <c r="E299" s="473" t="s">
        <v>50</v>
      </c>
      <c r="F299" s="474" t="s">
        <v>690</v>
      </c>
      <c r="G299" s="625">
        <f t="shared" ref="G299:I312" si="80">BR299+BU299</f>
        <v>187280</v>
      </c>
      <c r="H299" s="626">
        <f t="shared" si="80"/>
        <v>8684</v>
      </c>
      <c r="I299" s="566">
        <f t="shared" si="80"/>
        <v>0</v>
      </c>
      <c r="J299" s="567"/>
      <c r="K299" s="568"/>
      <c r="L299" s="569"/>
      <c r="M299" s="570"/>
      <c r="N299" s="568"/>
      <c r="O299" s="571"/>
      <c r="P299" s="567"/>
      <c r="Q299" s="568"/>
      <c r="R299" s="569"/>
      <c r="S299" s="570"/>
      <c r="T299" s="568"/>
      <c r="U299" s="571"/>
      <c r="V299" s="567"/>
      <c r="W299" s="568"/>
      <c r="X299" s="569"/>
      <c r="Y299" s="572">
        <f t="shared" ref="Y299:AA312" si="81">J299+M299+P299+S299+V299</f>
        <v>0</v>
      </c>
      <c r="Z299" s="573">
        <f t="shared" si="81"/>
        <v>0</v>
      </c>
      <c r="AA299" s="574">
        <f t="shared" si="81"/>
        <v>0</v>
      </c>
      <c r="AB299" s="567"/>
      <c r="AC299" s="568"/>
      <c r="AD299" s="569"/>
      <c r="AE299" s="570"/>
      <c r="AF299" s="568"/>
      <c r="AG299" s="571"/>
      <c r="AH299" s="567"/>
      <c r="AI299" s="568"/>
      <c r="AJ299" s="569"/>
      <c r="AK299" s="570"/>
      <c r="AL299" s="568"/>
      <c r="AM299" s="571"/>
      <c r="AN299" s="567"/>
      <c r="AO299" s="568"/>
      <c r="AP299" s="569"/>
      <c r="AQ299" s="613"/>
      <c r="AR299" s="611"/>
      <c r="AS299" s="614"/>
      <c r="AT299" s="610"/>
      <c r="AU299" s="611"/>
      <c r="AV299" s="612"/>
      <c r="AW299" s="613">
        <v>187280</v>
      </c>
      <c r="AX299" s="611">
        <v>8684</v>
      </c>
      <c r="AY299" s="614"/>
      <c r="AZ299" s="567"/>
      <c r="BA299" s="568"/>
      <c r="BB299" s="569"/>
      <c r="BC299" s="570"/>
      <c r="BD299" s="568"/>
      <c r="BE299" s="571"/>
      <c r="BF299" s="567"/>
      <c r="BG299" s="568"/>
      <c r="BH299" s="569"/>
      <c r="BI299" s="570"/>
      <c r="BJ299" s="568"/>
      <c r="BK299" s="571"/>
      <c r="BL299" s="567"/>
      <c r="BM299" s="568"/>
      <c r="BN299" s="569"/>
      <c r="BO299" s="570"/>
      <c r="BP299" s="568"/>
      <c r="BQ299" s="571"/>
      <c r="BR299" s="575">
        <f t="shared" ref="BR299:BT312" si="82">AB299+AE299+AH299+AK299+AN299+AQ299+AT299+AW299+AZ299+BC299+BF299+BI299+BL299+BO299+Y299</f>
        <v>187280</v>
      </c>
      <c r="BS299" s="576">
        <f t="shared" si="82"/>
        <v>8684</v>
      </c>
      <c r="BT299" s="577">
        <f t="shared" si="82"/>
        <v>0</v>
      </c>
      <c r="BU299" s="578"/>
      <c r="BV299" s="579"/>
      <c r="BW299" s="580"/>
    </row>
    <row r="300" spans="1:75" ht="36">
      <c r="A300" s="470" t="s">
        <v>49</v>
      </c>
      <c r="B300" s="471">
        <v>561</v>
      </c>
      <c r="C300" s="471" t="s">
        <v>38</v>
      </c>
      <c r="D300" s="521">
        <v>3132</v>
      </c>
      <c r="E300" s="522" t="s">
        <v>52</v>
      </c>
      <c r="F300" s="523" t="s">
        <v>690</v>
      </c>
      <c r="G300" s="628">
        <f t="shared" si="80"/>
        <v>30901</v>
      </c>
      <c r="H300" s="629">
        <f t="shared" si="80"/>
        <v>1433</v>
      </c>
      <c r="I300" s="499">
        <f t="shared" si="80"/>
        <v>0</v>
      </c>
      <c r="J300" s="500"/>
      <c r="K300" s="501"/>
      <c r="L300" s="502"/>
      <c r="M300" s="503"/>
      <c r="N300" s="501"/>
      <c r="O300" s="504"/>
      <c r="P300" s="500"/>
      <c r="Q300" s="501"/>
      <c r="R300" s="502"/>
      <c r="S300" s="503"/>
      <c r="T300" s="501"/>
      <c r="U300" s="504"/>
      <c r="V300" s="500"/>
      <c r="W300" s="501"/>
      <c r="X300" s="502"/>
      <c r="Y300" s="505">
        <f t="shared" si="81"/>
        <v>0</v>
      </c>
      <c r="Z300" s="506">
        <f t="shared" si="81"/>
        <v>0</v>
      </c>
      <c r="AA300" s="507">
        <f t="shared" si="81"/>
        <v>0</v>
      </c>
      <c r="AB300" s="500"/>
      <c r="AC300" s="501"/>
      <c r="AD300" s="502"/>
      <c r="AE300" s="503"/>
      <c r="AF300" s="501"/>
      <c r="AG300" s="504"/>
      <c r="AH300" s="500"/>
      <c r="AI300" s="501"/>
      <c r="AJ300" s="502"/>
      <c r="AK300" s="503"/>
      <c r="AL300" s="501"/>
      <c r="AM300" s="504"/>
      <c r="AN300" s="500"/>
      <c r="AO300" s="501"/>
      <c r="AP300" s="502"/>
      <c r="AQ300" s="618"/>
      <c r="AR300" s="616"/>
      <c r="AS300" s="619"/>
      <c r="AT300" s="615"/>
      <c r="AU300" s="616"/>
      <c r="AV300" s="617"/>
      <c r="AW300" s="618">
        <v>30901</v>
      </c>
      <c r="AX300" s="616">
        <v>1433</v>
      </c>
      <c r="AY300" s="619"/>
      <c r="AZ300" s="500"/>
      <c r="BA300" s="501"/>
      <c r="BB300" s="502"/>
      <c r="BC300" s="503"/>
      <c r="BD300" s="501"/>
      <c r="BE300" s="504"/>
      <c r="BF300" s="500"/>
      <c r="BG300" s="501"/>
      <c r="BH300" s="502"/>
      <c r="BI300" s="503"/>
      <c r="BJ300" s="501"/>
      <c r="BK300" s="504"/>
      <c r="BL300" s="500"/>
      <c r="BM300" s="501"/>
      <c r="BN300" s="502"/>
      <c r="BO300" s="503"/>
      <c r="BP300" s="501"/>
      <c r="BQ300" s="504"/>
      <c r="BR300" s="513">
        <f t="shared" si="82"/>
        <v>30901</v>
      </c>
      <c r="BS300" s="514">
        <f t="shared" si="82"/>
        <v>1433</v>
      </c>
      <c r="BT300" s="515">
        <f t="shared" si="82"/>
        <v>0</v>
      </c>
      <c r="BU300" s="516"/>
      <c r="BV300" s="517"/>
      <c r="BW300" s="518"/>
    </row>
    <row r="301" spans="1:75" ht="36">
      <c r="A301" s="470" t="s">
        <v>49</v>
      </c>
      <c r="B301" s="471">
        <v>561</v>
      </c>
      <c r="C301" s="471" t="s">
        <v>38</v>
      </c>
      <c r="D301" s="521">
        <v>3211</v>
      </c>
      <c r="E301" s="522" t="s">
        <v>60</v>
      </c>
      <c r="F301" s="523" t="s">
        <v>690</v>
      </c>
      <c r="G301" s="628">
        <f t="shared" si="80"/>
        <v>196435</v>
      </c>
      <c r="H301" s="629">
        <f t="shared" si="80"/>
        <v>0</v>
      </c>
      <c r="I301" s="499">
        <f t="shared" si="80"/>
        <v>0</v>
      </c>
      <c r="J301" s="500"/>
      <c r="K301" s="501"/>
      <c r="L301" s="502"/>
      <c r="M301" s="503"/>
      <c r="N301" s="501"/>
      <c r="O301" s="504"/>
      <c r="P301" s="500"/>
      <c r="Q301" s="501"/>
      <c r="R301" s="502"/>
      <c r="S301" s="503"/>
      <c r="T301" s="501"/>
      <c r="U301" s="504"/>
      <c r="V301" s="500"/>
      <c r="W301" s="501"/>
      <c r="X301" s="502"/>
      <c r="Y301" s="505">
        <f t="shared" si="81"/>
        <v>0</v>
      </c>
      <c r="Z301" s="506">
        <f t="shared" si="81"/>
        <v>0</v>
      </c>
      <c r="AA301" s="507">
        <f t="shared" si="81"/>
        <v>0</v>
      </c>
      <c r="AB301" s="500"/>
      <c r="AC301" s="501"/>
      <c r="AD301" s="502"/>
      <c r="AE301" s="503"/>
      <c r="AF301" s="501"/>
      <c r="AG301" s="504"/>
      <c r="AH301" s="500"/>
      <c r="AI301" s="501"/>
      <c r="AJ301" s="502"/>
      <c r="AK301" s="503"/>
      <c r="AL301" s="501"/>
      <c r="AM301" s="504"/>
      <c r="AN301" s="500">
        <v>85000</v>
      </c>
      <c r="AO301" s="501"/>
      <c r="AP301" s="502"/>
      <c r="AQ301" s="618"/>
      <c r="AR301" s="616"/>
      <c r="AS301" s="619"/>
      <c r="AT301" s="615"/>
      <c r="AU301" s="616"/>
      <c r="AV301" s="617"/>
      <c r="AW301" s="618">
        <f>111435</f>
        <v>111435</v>
      </c>
      <c r="AX301" s="616"/>
      <c r="AY301" s="619"/>
      <c r="AZ301" s="500"/>
      <c r="BA301" s="501"/>
      <c r="BB301" s="502"/>
      <c r="BC301" s="503"/>
      <c r="BD301" s="501"/>
      <c r="BE301" s="504"/>
      <c r="BF301" s="500"/>
      <c r="BG301" s="501"/>
      <c r="BH301" s="502"/>
      <c r="BI301" s="503"/>
      <c r="BJ301" s="501"/>
      <c r="BK301" s="504"/>
      <c r="BL301" s="500"/>
      <c r="BM301" s="501"/>
      <c r="BN301" s="502"/>
      <c r="BO301" s="503"/>
      <c r="BP301" s="501"/>
      <c r="BQ301" s="504"/>
      <c r="BR301" s="513">
        <f t="shared" si="82"/>
        <v>196435</v>
      </c>
      <c r="BS301" s="514">
        <f t="shared" si="82"/>
        <v>0</v>
      </c>
      <c r="BT301" s="515">
        <f t="shared" si="82"/>
        <v>0</v>
      </c>
      <c r="BU301" s="516"/>
      <c r="BV301" s="517"/>
      <c r="BW301" s="518"/>
    </row>
    <row r="302" spans="1:75" ht="36">
      <c r="A302" s="470" t="s">
        <v>49</v>
      </c>
      <c r="B302" s="471">
        <v>561</v>
      </c>
      <c r="C302" s="471" t="s">
        <v>38</v>
      </c>
      <c r="D302" s="521">
        <v>3213</v>
      </c>
      <c r="E302" s="522" t="s">
        <v>64</v>
      </c>
      <c r="F302" s="523" t="s">
        <v>690</v>
      </c>
      <c r="G302" s="497">
        <f t="shared" si="80"/>
        <v>5737</v>
      </c>
      <c r="H302" s="498">
        <f t="shared" si="80"/>
        <v>0</v>
      </c>
      <c r="I302" s="499">
        <f t="shared" si="80"/>
        <v>0</v>
      </c>
      <c r="J302" s="500"/>
      <c r="K302" s="501"/>
      <c r="L302" s="502"/>
      <c r="M302" s="503"/>
      <c r="N302" s="501"/>
      <c r="O302" s="504"/>
      <c r="P302" s="500"/>
      <c r="Q302" s="501"/>
      <c r="R302" s="502"/>
      <c r="S302" s="503"/>
      <c r="T302" s="501"/>
      <c r="U302" s="504"/>
      <c r="V302" s="500"/>
      <c r="W302" s="501"/>
      <c r="X302" s="502"/>
      <c r="Y302" s="505">
        <f t="shared" si="81"/>
        <v>0</v>
      </c>
      <c r="Z302" s="506">
        <f t="shared" si="81"/>
        <v>0</v>
      </c>
      <c r="AA302" s="507">
        <f t="shared" si="81"/>
        <v>0</v>
      </c>
      <c r="AB302" s="500"/>
      <c r="AC302" s="501"/>
      <c r="AD302" s="502"/>
      <c r="AE302" s="503"/>
      <c r="AF302" s="501"/>
      <c r="AG302" s="504"/>
      <c r="AH302" s="500"/>
      <c r="AI302" s="501"/>
      <c r="AJ302" s="502"/>
      <c r="AK302" s="503"/>
      <c r="AL302" s="501"/>
      <c r="AM302" s="504"/>
      <c r="AN302" s="500"/>
      <c r="AO302" s="501"/>
      <c r="AP302" s="502"/>
      <c r="AQ302" s="618"/>
      <c r="AR302" s="616"/>
      <c r="AS302" s="619"/>
      <c r="AT302" s="615"/>
      <c r="AU302" s="616"/>
      <c r="AV302" s="617"/>
      <c r="AW302" s="618">
        <v>5737</v>
      </c>
      <c r="AX302" s="616"/>
      <c r="AY302" s="619"/>
      <c r="AZ302" s="500"/>
      <c r="BA302" s="501"/>
      <c r="BB302" s="502"/>
      <c r="BC302" s="503"/>
      <c r="BD302" s="501"/>
      <c r="BE302" s="504"/>
      <c r="BF302" s="500"/>
      <c r="BG302" s="501"/>
      <c r="BH302" s="502"/>
      <c r="BI302" s="503"/>
      <c r="BJ302" s="501"/>
      <c r="BK302" s="504"/>
      <c r="BL302" s="500"/>
      <c r="BM302" s="501"/>
      <c r="BN302" s="502"/>
      <c r="BO302" s="503"/>
      <c r="BP302" s="501"/>
      <c r="BQ302" s="504"/>
      <c r="BR302" s="513">
        <f t="shared" si="82"/>
        <v>5737</v>
      </c>
      <c r="BS302" s="514">
        <f t="shared" si="82"/>
        <v>0</v>
      </c>
      <c r="BT302" s="515">
        <f t="shared" si="82"/>
        <v>0</v>
      </c>
      <c r="BU302" s="516"/>
      <c r="BV302" s="517"/>
      <c r="BW302" s="518"/>
    </row>
    <row r="303" spans="1:75" ht="36">
      <c r="A303" s="470" t="s">
        <v>49</v>
      </c>
      <c r="B303" s="471">
        <v>561</v>
      </c>
      <c r="C303" s="471" t="s">
        <v>38</v>
      </c>
      <c r="D303" s="521">
        <v>3233</v>
      </c>
      <c r="E303" s="522" t="s">
        <v>81</v>
      </c>
      <c r="F303" s="523" t="s">
        <v>690</v>
      </c>
      <c r="G303" s="497">
        <f t="shared" si="80"/>
        <v>1360</v>
      </c>
      <c r="H303" s="498">
        <f t="shared" si="80"/>
        <v>6375</v>
      </c>
      <c r="I303" s="499">
        <f t="shared" si="80"/>
        <v>0</v>
      </c>
      <c r="J303" s="500"/>
      <c r="K303" s="501"/>
      <c r="L303" s="502"/>
      <c r="M303" s="503"/>
      <c r="N303" s="501"/>
      <c r="O303" s="504"/>
      <c r="P303" s="500"/>
      <c r="Q303" s="501"/>
      <c r="R303" s="502"/>
      <c r="S303" s="503"/>
      <c r="T303" s="501"/>
      <c r="U303" s="504"/>
      <c r="V303" s="500"/>
      <c r="W303" s="501"/>
      <c r="X303" s="502"/>
      <c r="Y303" s="505">
        <f t="shared" si="81"/>
        <v>0</v>
      </c>
      <c r="Z303" s="506">
        <f t="shared" si="81"/>
        <v>0</v>
      </c>
      <c r="AA303" s="507">
        <f t="shared" si="81"/>
        <v>0</v>
      </c>
      <c r="AB303" s="500"/>
      <c r="AC303" s="501"/>
      <c r="AD303" s="502"/>
      <c r="AE303" s="503"/>
      <c r="AF303" s="501"/>
      <c r="AG303" s="504"/>
      <c r="AH303" s="500"/>
      <c r="AI303" s="501"/>
      <c r="AJ303" s="502"/>
      <c r="AK303" s="503"/>
      <c r="AL303" s="501"/>
      <c r="AM303" s="504"/>
      <c r="AN303" s="500"/>
      <c r="AO303" s="501"/>
      <c r="AP303" s="502"/>
      <c r="AQ303" s="618"/>
      <c r="AR303" s="616"/>
      <c r="AS303" s="619"/>
      <c r="AT303" s="615"/>
      <c r="AU303" s="616"/>
      <c r="AV303" s="617"/>
      <c r="AW303" s="618">
        <v>1360</v>
      </c>
      <c r="AX303" s="616">
        <v>6375</v>
      </c>
      <c r="AY303" s="619"/>
      <c r="AZ303" s="500"/>
      <c r="BA303" s="501"/>
      <c r="BB303" s="502"/>
      <c r="BC303" s="503"/>
      <c r="BD303" s="501"/>
      <c r="BE303" s="504"/>
      <c r="BF303" s="500"/>
      <c r="BG303" s="501"/>
      <c r="BH303" s="502"/>
      <c r="BI303" s="503"/>
      <c r="BJ303" s="501"/>
      <c r="BK303" s="504"/>
      <c r="BL303" s="500"/>
      <c r="BM303" s="501"/>
      <c r="BN303" s="502"/>
      <c r="BO303" s="503"/>
      <c r="BP303" s="501"/>
      <c r="BQ303" s="504"/>
      <c r="BR303" s="513">
        <f t="shared" si="82"/>
        <v>1360</v>
      </c>
      <c r="BS303" s="514">
        <f t="shared" si="82"/>
        <v>6375</v>
      </c>
      <c r="BT303" s="515">
        <f t="shared" si="82"/>
        <v>0</v>
      </c>
      <c r="BU303" s="516"/>
      <c r="BV303" s="517"/>
      <c r="BW303" s="518"/>
    </row>
    <row r="304" spans="1:75" ht="36">
      <c r="A304" s="470" t="s">
        <v>49</v>
      </c>
      <c r="B304" s="471">
        <v>561</v>
      </c>
      <c r="C304" s="471" t="s">
        <v>38</v>
      </c>
      <c r="D304" s="521">
        <v>3237</v>
      </c>
      <c r="E304" s="522" t="s">
        <v>62</v>
      </c>
      <c r="F304" s="523" t="s">
        <v>690</v>
      </c>
      <c r="G304" s="628">
        <f t="shared" si="80"/>
        <v>448290</v>
      </c>
      <c r="H304" s="629">
        <f t="shared" si="80"/>
        <v>0</v>
      </c>
      <c r="I304" s="630">
        <f t="shared" si="80"/>
        <v>0</v>
      </c>
      <c r="J304" s="500"/>
      <c r="K304" s="501"/>
      <c r="L304" s="502"/>
      <c r="M304" s="503"/>
      <c r="N304" s="501"/>
      <c r="O304" s="504"/>
      <c r="P304" s="500"/>
      <c r="Q304" s="501"/>
      <c r="R304" s="502"/>
      <c r="S304" s="503"/>
      <c r="T304" s="501"/>
      <c r="U304" s="504"/>
      <c r="V304" s="500"/>
      <c r="W304" s="501"/>
      <c r="X304" s="502"/>
      <c r="Y304" s="505">
        <f t="shared" si="81"/>
        <v>0</v>
      </c>
      <c r="Z304" s="506">
        <f t="shared" si="81"/>
        <v>0</v>
      </c>
      <c r="AA304" s="507">
        <f t="shared" si="81"/>
        <v>0</v>
      </c>
      <c r="AB304" s="500"/>
      <c r="AC304" s="501"/>
      <c r="AD304" s="502"/>
      <c r="AE304" s="503"/>
      <c r="AF304" s="501"/>
      <c r="AG304" s="504"/>
      <c r="AH304" s="500"/>
      <c r="AI304" s="501"/>
      <c r="AJ304" s="502"/>
      <c r="AK304" s="503"/>
      <c r="AL304" s="501"/>
      <c r="AM304" s="504"/>
      <c r="AN304" s="500">
        <v>161500</v>
      </c>
      <c r="AO304" s="501"/>
      <c r="AP304" s="502"/>
      <c r="AQ304" s="618"/>
      <c r="AR304" s="616"/>
      <c r="AS304" s="619"/>
      <c r="AT304" s="615"/>
      <c r="AU304" s="616"/>
      <c r="AV304" s="617"/>
      <c r="AW304" s="618">
        <f>131750+155040</f>
        <v>286790</v>
      </c>
      <c r="AX304" s="616"/>
      <c r="AY304" s="619"/>
      <c r="AZ304" s="500"/>
      <c r="BA304" s="501"/>
      <c r="BB304" s="502"/>
      <c r="BC304" s="503"/>
      <c r="BD304" s="501"/>
      <c r="BE304" s="504"/>
      <c r="BF304" s="500"/>
      <c r="BG304" s="501"/>
      <c r="BH304" s="502"/>
      <c r="BI304" s="503"/>
      <c r="BJ304" s="501"/>
      <c r="BK304" s="504"/>
      <c r="BL304" s="500"/>
      <c r="BM304" s="501"/>
      <c r="BN304" s="502"/>
      <c r="BO304" s="503"/>
      <c r="BP304" s="501"/>
      <c r="BQ304" s="504"/>
      <c r="BR304" s="513">
        <f t="shared" si="82"/>
        <v>448290</v>
      </c>
      <c r="BS304" s="514">
        <f t="shared" si="82"/>
        <v>0</v>
      </c>
      <c r="BT304" s="515">
        <f t="shared" si="82"/>
        <v>0</v>
      </c>
      <c r="BU304" s="516"/>
      <c r="BV304" s="517"/>
      <c r="BW304" s="518"/>
    </row>
    <row r="305" spans="1:75" ht="36">
      <c r="A305" s="470" t="s">
        <v>49</v>
      </c>
      <c r="B305" s="471">
        <v>561</v>
      </c>
      <c r="C305" s="471" t="s">
        <v>38</v>
      </c>
      <c r="D305" s="521">
        <v>3239</v>
      </c>
      <c r="E305" s="522" t="s">
        <v>66</v>
      </c>
      <c r="F305" s="523" t="s">
        <v>690</v>
      </c>
      <c r="G305" s="628">
        <f t="shared" si="80"/>
        <v>7650</v>
      </c>
      <c r="H305" s="629">
        <f t="shared" si="80"/>
        <v>0</v>
      </c>
      <c r="I305" s="630">
        <f t="shared" si="80"/>
        <v>0</v>
      </c>
      <c r="J305" s="500"/>
      <c r="K305" s="501"/>
      <c r="L305" s="502"/>
      <c r="M305" s="503"/>
      <c r="N305" s="501"/>
      <c r="O305" s="504"/>
      <c r="P305" s="500"/>
      <c r="Q305" s="501"/>
      <c r="R305" s="502"/>
      <c r="S305" s="503"/>
      <c r="T305" s="501"/>
      <c r="U305" s="504"/>
      <c r="V305" s="500"/>
      <c r="W305" s="501"/>
      <c r="X305" s="502"/>
      <c r="Y305" s="505">
        <f t="shared" si="81"/>
        <v>0</v>
      </c>
      <c r="Z305" s="506">
        <f t="shared" si="81"/>
        <v>0</v>
      </c>
      <c r="AA305" s="507">
        <f t="shared" si="81"/>
        <v>0</v>
      </c>
      <c r="AB305" s="500"/>
      <c r="AC305" s="501"/>
      <c r="AD305" s="502"/>
      <c r="AE305" s="503"/>
      <c r="AF305" s="501"/>
      <c r="AG305" s="504"/>
      <c r="AH305" s="500"/>
      <c r="AI305" s="501"/>
      <c r="AJ305" s="502"/>
      <c r="AK305" s="503"/>
      <c r="AL305" s="501"/>
      <c r="AM305" s="504"/>
      <c r="AN305" s="500"/>
      <c r="AO305" s="501"/>
      <c r="AP305" s="502"/>
      <c r="AQ305" s="618"/>
      <c r="AR305" s="616"/>
      <c r="AS305" s="619"/>
      <c r="AT305" s="615"/>
      <c r="AU305" s="616"/>
      <c r="AV305" s="617"/>
      <c r="AW305" s="618">
        <v>7650</v>
      </c>
      <c r="AX305" s="616"/>
      <c r="AY305" s="619"/>
      <c r="AZ305" s="500"/>
      <c r="BA305" s="501"/>
      <c r="BB305" s="502"/>
      <c r="BC305" s="503"/>
      <c r="BD305" s="501"/>
      <c r="BE305" s="504"/>
      <c r="BF305" s="500"/>
      <c r="BG305" s="501"/>
      <c r="BH305" s="502"/>
      <c r="BI305" s="503"/>
      <c r="BJ305" s="501"/>
      <c r="BK305" s="504"/>
      <c r="BL305" s="500"/>
      <c r="BM305" s="501"/>
      <c r="BN305" s="502"/>
      <c r="BO305" s="503"/>
      <c r="BP305" s="501"/>
      <c r="BQ305" s="504"/>
      <c r="BR305" s="513">
        <f t="shared" si="82"/>
        <v>7650</v>
      </c>
      <c r="BS305" s="514">
        <f t="shared" si="82"/>
        <v>0</v>
      </c>
      <c r="BT305" s="515">
        <f t="shared" si="82"/>
        <v>0</v>
      </c>
      <c r="BU305" s="516"/>
      <c r="BV305" s="517"/>
      <c r="BW305" s="518"/>
    </row>
    <row r="306" spans="1:75" ht="36">
      <c r="A306" s="470" t="s">
        <v>49</v>
      </c>
      <c r="B306" s="471">
        <v>561</v>
      </c>
      <c r="C306" s="471" t="s">
        <v>38</v>
      </c>
      <c r="D306" s="521">
        <v>3241</v>
      </c>
      <c r="E306" s="522" t="s">
        <v>67</v>
      </c>
      <c r="F306" s="523" t="s">
        <v>690</v>
      </c>
      <c r="G306" s="628">
        <f t="shared" si="80"/>
        <v>59500</v>
      </c>
      <c r="H306" s="629">
        <f t="shared" si="80"/>
        <v>0</v>
      </c>
      <c r="I306" s="630">
        <f t="shared" si="80"/>
        <v>0</v>
      </c>
      <c r="J306" s="500"/>
      <c r="K306" s="501"/>
      <c r="L306" s="502"/>
      <c r="M306" s="503"/>
      <c r="N306" s="501"/>
      <c r="O306" s="504"/>
      <c r="P306" s="500"/>
      <c r="Q306" s="501"/>
      <c r="R306" s="502"/>
      <c r="S306" s="503"/>
      <c r="T306" s="501"/>
      <c r="U306" s="504"/>
      <c r="V306" s="500"/>
      <c r="W306" s="501"/>
      <c r="X306" s="502"/>
      <c r="Y306" s="505">
        <f t="shared" si="81"/>
        <v>0</v>
      </c>
      <c r="Z306" s="506">
        <f t="shared" si="81"/>
        <v>0</v>
      </c>
      <c r="AA306" s="507">
        <f t="shared" si="81"/>
        <v>0</v>
      </c>
      <c r="AB306" s="500"/>
      <c r="AC306" s="501"/>
      <c r="AD306" s="502"/>
      <c r="AE306" s="503"/>
      <c r="AF306" s="501"/>
      <c r="AG306" s="504"/>
      <c r="AH306" s="500"/>
      <c r="AI306" s="501"/>
      <c r="AJ306" s="502"/>
      <c r="AK306" s="503"/>
      <c r="AL306" s="501"/>
      <c r="AM306" s="504"/>
      <c r="AN306" s="500"/>
      <c r="AO306" s="501"/>
      <c r="AP306" s="502"/>
      <c r="AQ306" s="618"/>
      <c r="AR306" s="616"/>
      <c r="AS306" s="619"/>
      <c r="AT306" s="615"/>
      <c r="AU306" s="616"/>
      <c r="AV306" s="617"/>
      <c r="AW306" s="618">
        <v>59500</v>
      </c>
      <c r="AX306" s="616"/>
      <c r="AY306" s="619"/>
      <c r="AZ306" s="500"/>
      <c r="BA306" s="501"/>
      <c r="BB306" s="502"/>
      <c r="BC306" s="503"/>
      <c r="BD306" s="501"/>
      <c r="BE306" s="504"/>
      <c r="BF306" s="500"/>
      <c r="BG306" s="501"/>
      <c r="BH306" s="502"/>
      <c r="BI306" s="503"/>
      <c r="BJ306" s="501"/>
      <c r="BK306" s="504"/>
      <c r="BL306" s="500"/>
      <c r="BM306" s="501"/>
      <c r="BN306" s="502"/>
      <c r="BO306" s="503"/>
      <c r="BP306" s="501"/>
      <c r="BQ306" s="504"/>
      <c r="BR306" s="513">
        <f t="shared" si="82"/>
        <v>59500</v>
      </c>
      <c r="BS306" s="514">
        <f t="shared" si="82"/>
        <v>0</v>
      </c>
      <c r="BT306" s="515">
        <f t="shared" si="82"/>
        <v>0</v>
      </c>
      <c r="BU306" s="516"/>
      <c r="BV306" s="517"/>
      <c r="BW306" s="518"/>
    </row>
    <row r="307" spans="1:75" ht="36">
      <c r="A307" s="470" t="s">
        <v>49</v>
      </c>
      <c r="B307" s="471">
        <v>561</v>
      </c>
      <c r="C307" s="471" t="s">
        <v>38</v>
      </c>
      <c r="D307" s="521">
        <v>3293</v>
      </c>
      <c r="E307" s="522" t="s">
        <v>68</v>
      </c>
      <c r="F307" s="523" t="s">
        <v>690</v>
      </c>
      <c r="G307" s="628">
        <f t="shared" si="80"/>
        <v>87550</v>
      </c>
      <c r="H307" s="629">
        <f t="shared" si="80"/>
        <v>15725</v>
      </c>
      <c r="I307" s="630">
        <f t="shared" si="80"/>
        <v>0</v>
      </c>
      <c r="J307" s="500"/>
      <c r="K307" s="501"/>
      <c r="L307" s="502"/>
      <c r="M307" s="503"/>
      <c r="N307" s="501"/>
      <c r="O307" s="504"/>
      <c r="P307" s="500"/>
      <c r="Q307" s="501"/>
      <c r="R307" s="502"/>
      <c r="S307" s="503"/>
      <c r="T307" s="501"/>
      <c r="U307" s="504"/>
      <c r="V307" s="500"/>
      <c r="W307" s="501"/>
      <c r="X307" s="502"/>
      <c r="Y307" s="505">
        <f t="shared" si="81"/>
        <v>0</v>
      </c>
      <c r="Z307" s="506">
        <f t="shared" si="81"/>
        <v>0</v>
      </c>
      <c r="AA307" s="507">
        <f t="shared" si="81"/>
        <v>0</v>
      </c>
      <c r="AB307" s="500"/>
      <c r="AC307" s="501"/>
      <c r="AD307" s="502"/>
      <c r="AE307" s="503"/>
      <c r="AF307" s="501"/>
      <c r="AG307" s="504"/>
      <c r="AH307" s="500"/>
      <c r="AI307" s="501"/>
      <c r="AJ307" s="502"/>
      <c r="AK307" s="503"/>
      <c r="AL307" s="501"/>
      <c r="AM307" s="504"/>
      <c r="AN307" s="500">
        <v>85000</v>
      </c>
      <c r="AO307" s="501"/>
      <c r="AP307" s="502"/>
      <c r="AQ307" s="618"/>
      <c r="AR307" s="616"/>
      <c r="AS307" s="619"/>
      <c r="AT307" s="615"/>
      <c r="AU307" s="616"/>
      <c r="AV307" s="617"/>
      <c r="AW307" s="618">
        <v>2550</v>
      </c>
      <c r="AX307" s="616">
        <v>15725</v>
      </c>
      <c r="AY307" s="619"/>
      <c r="AZ307" s="500"/>
      <c r="BA307" s="501"/>
      <c r="BB307" s="502"/>
      <c r="BC307" s="503"/>
      <c r="BD307" s="501"/>
      <c r="BE307" s="504"/>
      <c r="BF307" s="500"/>
      <c r="BG307" s="501"/>
      <c r="BH307" s="502"/>
      <c r="BI307" s="503"/>
      <c r="BJ307" s="501"/>
      <c r="BK307" s="504"/>
      <c r="BL307" s="500"/>
      <c r="BM307" s="501"/>
      <c r="BN307" s="502"/>
      <c r="BO307" s="503"/>
      <c r="BP307" s="501"/>
      <c r="BQ307" s="504"/>
      <c r="BR307" s="513">
        <f t="shared" si="82"/>
        <v>87550</v>
      </c>
      <c r="BS307" s="514">
        <f t="shared" si="82"/>
        <v>15725</v>
      </c>
      <c r="BT307" s="515">
        <f t="shared" si="82"/>
        <v>0</v>
      </c>
      <c r="BU307" s="516"/>
      <c r="BV307" s="517"/>
      <c r="BW307" s="518"/>
    </row>
    <row r="308" spans="1:75" ht="36">
      <c r="A308" s="470" t="s">
        <v>49</v>
      </c>
      <c r="B308" s="471">
        <v>561</v>
      </c>
      <c r="C308" s="471" t="s">
        <v>38</v>
      </c>
      <c r="D308" s="521">
        <v>3299</v>
      </c>
      <c r="E308" s="522" t="s">
        <v>57</v>
      </c>
      <c r="F308" s="523" t="s">
        <v>690</v>
      </c>
      <c r="G308" s="628">
        <f t="shared" si="80"/>
        <v>0</v>
      </c>
      <c r="H308" s="629">
        <f t="shared" si="80"/>
        <v>6673</v>
      </c>
      <c r="I308" s="630">
        <f t="shared" si="80"/>
        <v>0</v>
      </c>
      <c r="J308" s="500"/>
      <c r="K308" s="501"/>
      <c r="L308" s="502"/>
      <c r="M308" s="503"/>
      <c r="N308" s="501"/>
      <c r="O308" s="504"/>
      <c r="P308" s="500"/>
      <c r="Q308" s="501"/>
      <c r="R308" s="502"/>
      <c r="S308" s="503"/>
      <c r="T308" s="501"/>
      <c r="U308" s="504"/>
      <c r="V308" s="500"/>
      <c r="W308" s="501"/>
      <c r="X308" s="502"/>
      <c r="Y308" s="505">
        <f t="shared" si="81"/>
        <v>0</v>
      </c>
      <c r="Z308" s="506">
        <f t="shared" si="81"/>
        <v>0</v>
      </c>
      <c r="AA308" s="507">
        <f t="shared" si="81"/>
        <v>0</v>
      </c>
      <c r="AB308" s="500"/>
      <c r="AC308" s="501"/>
      <c r="AD308" s="502"/>
      <c r="AE308" s="503"/>
      <c r="AF308" s="501"/>
      <c r="AG308" s="504"/>
      <c r="AH308" s="500"/>
      <c r="AI308" s="501"/>
      <c r="AJ308" s="502"/>
      <c r="AK308" s="503"/>
      <c r="AL308" s="501"/>
      <c r="AM308" s="504"/>
      <c r="AN308" s="500"/>
      <c r="AO308" s="501"/>
      <c r="AP308" s="502"/>
      <c r="AQ308" s="618"/>
      <c r="AR308" s="616"/>
      <c r="AS308" s="619"/>
      <c r="AT308" s="615"/>
      <c r="AU308" s="616"/>
      <c r="AV308" s="617"/>
      <c r="AW308" s="618">
        <v>0</v>
      </c>
      <c r="AX308" s="616">
        <v>6673</v>
      </c>
      <c r="AY308" s="619"/>
      <c r="AZ308" s="500"/>
      <c r="BA308" s="501"/>
      <c r="BB308" s="502"/>
      <c r="BC308" s="503"/>
      <c r="BD308" s="501"/>
      <c r="BE308" s="504"/>
      <c r="BF308" s="500"/>
      <c r="BG308" s="501"/>
      <c r="BH308" s="502"/>
      <c r="BI308" s="503"/>
      <c r="BJ308" s="501"/>
      <c r="BK308" s="504"/>
      <c r="BL308" s="500"/>
      <c r="BM308" s="501"/>
      <c r="BN308" s="502"/>
      <c r="BO308" s="503"/>
      <c r="BP308" s="501"/>
      <c r="BQ308" s="504"/>
      <c r="BR308" s="513">
        <f t="shared" si="82"/>
        <v>0</v>
      </c>
      <c r="BS308" s="514">
        <f t="shared" si="82"/>
        <v>6673</v>
      </c>
      <c r="BT308" s="515">
        <f t="shared" si="82"/>
        <v>0</v>
      </c>
      <c r="BU308" s="516"/>
      <c r="BV308" s="517"/>
      <c r="BW308" s="518"/>
    </row>
    <row r="309" spans="1:75" ht="48">
      <c r="A309" s="470" t="s">
        <v>49</v>
      </c>
      <c r="B309" s="471">
        <v>561</v>
      </c>
      <c r="C309" s="471" t="s">
        <v>38</v>
      </c>
      <c r="D309" s="521">
        <v>3691</v>
      </c>
      <c r="E309" s="522" t="s">
        <v>36</v>
      </c>
      <c r="F309" s="523" t="s">
        <v>690</v>
      </c>
      <c r="G309" s="628">
        <f t="shared" si="80"/>
        <v>494264</v>
      </c>
      <c r="H309" s="629">
        <f t="shared" si="80"/>
        <v>0</v>
      </c>
      <c r="I309" s="630">
        <f t="shared" si="80"/>
        <v>0</v>
      </c>
      <c r="J309" s="500"/>
      <c r="K309" s="501"/>
      <c r="L309" s="502"/>
      <c r="M309" s="503"/>
      <c r="N309" s="501"/>
      <c r="O309" s="504"/>
      <c r="P309" s="500"/>
      <c r="Q309" s="501"/>
      <c r="R309" s="502"/>
      <c r="S309" s="503"/>
      <c r="T309" s="501"/>
      <c r="U309" s="504"/>
      <c r="V309" s="500"/>
      <c r="W309" s="501"/>
      <c r="X309" s="502"/>
      <c r="Y309" s="505">
        <f t="shared" si="81"/>
        <v>0</v>
      </c>
      <c r="Z309" s="506">
        <f t="shared" si="81"/>
        <v>0</v>
      </c>
      <c r="AA309" s="507">
        <f t="shared" si="81"/>
        <v>0</v>
      </c>
      <c r="AB309" s="500"/>
      <c r="AC309" s="501"/>
      <c r="AD309" s="502"/>
      <c r="AE309" s="503"/>
      <c r="AF309" s="501"/>
      <c r="AG309" s="504"/>
      <c r="AH309" s="500"/>
      <c r="AI309" s="501"/>
      <c r="AJ309" s="502"/>
      <c r="AK309" s="503"/>
      <c r="AL309" s="501"/>
      <c r="AM309" s="504"/>
      <c r="AN309" s="615">
        <f>494264</f>
        <v>494264</v>
      </c>
      <c r="AO309" s="501"/>
      <c r="AP309" s="502"/>
      <c r="AQ309" s="618"/>
      <c r="AR309" s="616"/>
      <c r="AS309" s="619"/>
      <c r="AT309" s="615"/>
      <c r="AU309" s="616"/>
      <c r="AV309" s="617"/>
      <c r="AW309" s="618"/>
      <c r="AX309" s="616"/>
      <c r="AY309" s="619"/>
      <c r="AZ309" s="500"/>
      <c r="BA309" s="501"/>
      <c r="BB309" s="502"/>
      <c r="BC309" s="503"/>
      <c r="BD309" s="501"/>
      <c r="BE309" s="504"/>
      <c r="BF309" s="500"/>
      <c r="BG309" s="501"/>
      <c r="BH309" s="502"/>
      <c r="BI309" s="503"/>
      <c r="BJ309" s="501"/>
      <c r="BK309" s="504"/>
      <c r="BL309" s="500"/>
      <c r="BM309" s="501"/>
      <c r="BN309" s="502"/>
      <c r="BO309" s="503"/>
      <c r="BP309" s="501"/>
      <c r="BQ309" s="504"/>
      <c r="BR309" s="513">
        <f t="shared" si="82"/>
        <v>494264</v>
      </c>
      <c r="BS309" s="514">
        <f t="shared" si="82"/>
        <v>0</v>
      </c>
      <c r="BT309" s="515">
        <f t="shared" si="82"/>
        <v>0</v>
      </c>
      <c r="BU309" s="516"/>
      <c r="BV309" s="517"/>
      <c r="BW309" s="518"/>
    </row>
    <row r="310" spans="1:75" ht="36">
      <c r="A310" s="519" t="s">
        <v>49</v>
      </c>
      <c r="B310" s="520">
        <v>561</v>
      </c>
      <c r="C310" s="520" t="s">
        <v>38</v>
      </c>
      <c r="D310" s="521">
        <v>4221</v>
      </c>
      <c r="E310" s="522" t="s">
        <v>63</v>
      </c>
      <c r="F310" s="523" t="s">
        <v>690</v>
      </c>
      <c r="G310" s="628">
        <f t="shared" si="80"/>
        <v>270840</v>
      </c>
      <c r="H310" s="629">
        <f t="shared" si="80"/>
        <v>0</v>
      </c>
      <c r="I310" s="630">
        <f t="shared" si="80"/>
        <v>0</v>
      </c>
      <c r="J310" s="500"/>
      <c r="K310" s="501"/>
      <c r="L310" s="502"/>
      <c r="M310" s="503"/>
      <c r="N310" s="501"/>
      <c r="O310" s="504"/>
      <c r="P310" s="500"/>
      <c r="Q310" s="501"/>
      <c r="R310" s="502"/>
      <c r="S310" s="503"/>
      <c r="T310" s="501"/>
      <c r="U310" s="504"/>
      <c r="V310" s="500"/>
      <c r="W310" s="501"/>
      <c r="X310" s="502"/>
      <c r="Y310" s="505">
        <f t="shared" si="81"/>
        <v>0</v>
      </c>
      <c r="Z310" s="506">
        <f t="shared" si="81"/>
        <v>0</v>
      </c>
      <c r="AA310" s="507">
        <f t="shared" si="81"/>
        <v>0</v>
      </c>
      <c r="AB310" s="500"/>
      <c r="AC310" s="501"/>
      <c r="AD310" s="502"/>
      <c r="AE310" s="503"/>
      <c r="AF310" s="501"/>
      <c r="AG310" s="504"/>
      <c r="AH310" s="500"/>
      <c r="AI310" s="501"/>
      <c r="AJ310" s="502"/>
      <c r="AK310" s="503"/>
      <c r="AL310" s="501"/>
      <c r="AM310" s="504"/>
      <c r="AN310" s="500"/>
      <c r="AO310" s="501"/>
      <c r="AP310" s="502"/>
      <c r="AQ310" s="618"/>
      <c r="AR310" s="616"/>
      <c r="AS310" s="619"/>
      <c r="AT310" s="615"/>
      <c r="AU310" s="616"/>
      <c r="AV310" s="617"/>
      <c r="AW310" s="618">
        <f>270840</f>
        <v>270840</v>
      </c>
      <c r="AX310" s="616"/>
      <c r="AY310" s="619"/>
      <c r="AZ310" s="500"/>
      <c r="BA310" s="501"/>
      <c r="BB310" s="502"/>
      <c r="BC310" s="503"/>
      <c r="BD310" s="501"/>
      <c r="BE310" s="504"/>
      <c r="BF310" s="500"/>
      <c r="BG310" s="501"/>
      <c r="BH310" s="502"/>
      <c r="BI310" s="503"/>
      <c r="BJ310" s="501"/>
      <c r="BK310" s="504"/>
      <c r="BL310" s="500"/>
      <c r="BM310" s="501"/>
      <c r="BN310" s="502"/>
      <c r="BO310" s="503"/>
      <c r="BP310" s="501"/>
      <c r="BQ310" s="504"/>
      <c r="BR310" s="513">
        <f t="shared" si="82"/>
        <v>270840</v>
      </c>
      <c r="BS310" s="514">
        <f t="shared" si="82"/>
        <v>0</v>
      </c>
      <c r="BT310" s="515">
        <f t="shared" si="82"/>
        <v>0</v>
      </c>
      <c r="BU310" s="516"/>
      <c r="BV310" s="517"/>
      <c r="BW310" s="518"/>
    </row>
    <row r="311" spans="1:75" ht="36">
      <c r="A311" s="519" t="s">
        <v>49</v>
      </c>
      <c r="B311" s="520">
        <v>561</v>
      </c>
      <c r="C311" s="520" t="s">
        <v>38</v>
      </c>
      <c r="D311" s="521">
        <v>4225</v>
      </c>
      <c r="E311" s="522" t="s">
        <v>85</v>
      </c>
      <c r="F311" s="523" t="s">
        <v>690</v>
      </c>
      <c r="G311" s="497">
        <f t="shared" si="80"/>
        <v>28420</v>
      </c>
      <c r="H311" s="498">
        <f t="shared" si="80"/>
        <v>0</v>
      </c>
      <c r="I311" s="499">
        <f t="shared" si="80"/>
        <v>0</v>
      </c>
      <c r="J311" s="500"/>
      <c r="K311" s="501"/>
      <c r="L311" s="502"/>
      <c r="M311" s="503"/>
      <c r="N311" s="501"/>
      <c r="O311" s="504"/>
      <c r="P311" s="500"/>
      <c r="Q311" s="501"/>
      <c r="R311" s="502"/>
      <c r="S311" s="503"/>
      <c r="T311" s="501"/>
      <c r="U311" s="504"/>
      <c r="V311" s="500"/>
      <c r="W311" s="501"/>
      <c r="X311" s="502"/>
      <c r="Y311" s="505">
        <f t="shared" si="81"/>
        <v>0</v>
      </c>
      <c r="Z311" s="506">
        <f t="shared" si="81"/>
        <v>0</v>
      </c>
      <c r="AA311" s="507">
        <f t="shared" si="81"/>
        <v>0</v>
      </c>
      <c r="AB311" s="500"/>
      <c r="AC311" s="501"/>
      <c r="AD311" s="502"/>
      <c r="AE311" s="503"/>
      <c r="AF311" s="501"/>
      <c r="AG311" s="504"/>
      <c r="AH311" s="500"/>
      <c r="AI311" s="501"/>
      <c r="AJ311" s="502"/>
      <c r="AK311" s="503"/>
      <c r="AL311" s="501"/>
      <c r="AM311" s="504"/>
      <c r="AN311" s="500"/>
      <c r="AO311" s="501"/>
      <c r="AP311" s="502"/>
      <c r="AQ311" s="618"/>
      <c r="AR311" s="616"/>
      <c r="AS311" s="619"/>
      <c r="AT311" s="615"/>
      <c r="AU311" s="616"/>
      <c r="AV311" s="617"/>
      <c r="AW311" s="618">
        <v>28420</v>
      </c>
      <c r="AX311" s="616"/>
      <c r="AY311" s="619"/>
      <c r="AZ311" s="500"/>
      <c r="BA311" s="501"/>
      <c r="BB311" s="502"/>
      <c r="BC311" s="503"/>
      <c r="BD311" s="501"/>
      <c r="BE311" s="504"/>
      <c r="BF311" s="500"/>
      <c r="BG311" s="501"/>
      <c r="BH311" s="502"/>
      <c r="BI311" s="503"/>
      <c r="BJ311" s="501"/>
      <c r="BK311" s="504"/>
      <c r="BL311" s="500"/>
      <c r="BM311" s="501"/>
      <c r="BN311" s="502"/>
      <c r="BO311" s="503"/>
      <c r="BP311" s="501"/>
      <c r="BQ311" s="504"/>
      <c r="BR311" s="513">
        <f t="shared" si="82"/>
        <v>28420</v>
      </c>
      <c r="BS311" s="514">
        <f t="shared" si="82"/>
        <v>0</v>
      </c>
      <c r="BT311" s="515">
        <f t="shared" si="82"/>
        <v>0</v>
      </c>
      <c r="BU311" s="516"/>
      <c r="BV311" s="517"/>
      <c r="BW311" s="518"/>
    </row>
    <row r="312" spans="1:75" ht="36.75" thickBot="1">
      <c r="A312" s="524" t="s">
        <v>49</v>
      </c>
      <c r="B312" s="525">
        <v>561</v>
      </c>
      <c r="C312" s="525" t="s">
        <v>38</v>
      </c>
      <c r="D312" s="526">
        <v>4227</v>
      </c>
      <c r="E312" s="527" t="s">
        <v>93</v>
      </c>
      <c r="F312" s="528" t="s">
        <v>690</v>
      </c>
      <c r="G312" s="529">
        <f t="shared" si="80"/>
        <v>18105</v>
      </c>
      <c r="H312" s="530">
        <f t="shared" si="80"/>
        <v>0</v>
      </c>
      <c r="I312" s="531">
        <f t="shared" si="80"/>
        <v>0</v>
      </c>
      <c r="J312" s="532"/>
      <c r="K312" s="533"/>
      <c r="L312" s="534"/>
      <c r="M312" s="535"/>
      <c r="N312" s="533"/>
      <c r="O312" s="536"/>
      <c r="P312" s="532"/>
      <c r="Q312" s="533"/>
      <c r="R312" s="534"/>
      <c r="S312" s="535"/>
      <c r="T312" s="533"/>
      <c r="U312" s="536"/>
      <c r="V312" s="532"/>
      <c r="W312" s="533"/>
      <c r="X312" s="534"/>
      <c r="Y312" s="537">
        <f t="shared" si="81"/>
        <v>0</v>
      </c>
      <c r="Z312" s="538">
        <f t="shared" si="81"/>
        <v>0</v>
      </c>
      <c r="AA312" s="539">
        <f t="shared" si="81"/>
        <v>0</v>
      </c>
      <c r="AB312" s="532"/>
      <c r="AC312" s="533"/>
      <c r="AD312" s="534"/>
      <c r="AE312" s="535"/>
      <c r="AF312" s="533"/>
      <c r="AG312" s="536"/>
      <c r="AH312" s="532"/>
      <c r="AI312" s="533"/>
      <c r="AJ312" s="534"/>
      <c r="AK312" s="535"/>
      <c r="AL312" s="533"/>
      <c r="AM312" s="536"/>
      <c r="AN312" s="532"/>
      <c r="AO312" s="533"/>
      <c r="AP312" s="534"/>
      <c r="AQ312" s="623"/>
      <c r="AR312" s="621"/>
      <c r="AS312" s="624"/>
      <c r="AT312" s="620"/>
      <c r="AU312" s="621"/>
      <c r="AV312" s="622"/>
      <c r="AW312" s="623">
        <v>18105</v>
      </c>
      <c r="AX312" s="621"/>
      <c r="AY312" s="624"/>
      <c r="AZ312" s="532"/>
      <c r="BA312" s="533"/>
      <c r="BB312" s="534"/>
      <c r="BC312" s="535"/>
      <c r="BD312" s="533"/>
      <c r="BE312" s="536"/>
      <c r="BF312" s="532"/>
      <c r="BG312" s="533"/>
      <c r="BH312" s="534"/>
      <c r="BI312" s="535"/>
      <c r="BJ312" s="533"/>
      <c r="BK312" s="536"/>
      <c r="BL312" s="532"/>
      <c r="BM312" s="533"/>
      <c r="BN312" s="534"/>
      <c r="BO312" s="535"/>
      <c r="BP312" s="533"/>
      <c r="BQ312" s="536"/>
      <c r="BR312" s="546">
        <f t="shared" si="82"/>
        <v>18105</v>
      </c>
      <c r="BS312" s="547">
        <f t="shared" si="82"/>
        <v>0</v>
      </c>
      <c r="BT312" s="548">
        <f t="shared" si="82"/>
        <v>0</v>
      </c>
      <c r="BU312" s="549"/>
      <c r="BV312" s="550"/>
      <c r="BW312" s="551"/>
    </row>
    <row r="313" spans="1:75" ht="36.75" thickBot="1">
      <c r="A313" s="588" t="s">
        <v>49</v>
      </c>
      <c r="B313" s="589">
        <v>561</v>
      </c>
      <c r="C313" s="589" t="s">
        <v>38</v>
      </c>
      <c r="D313" s="590"/>
      <c r="E313" s="591" t="s">
        <v>741</v>
      </c>
      <c r="F313" s="592" t="s">
        <v>690</v>
      </c>
      <c r="G313" s="593">
        <f t="shared" ref="G313:AL313" si="83">SUM(G299:G312)</f>
        <v>1836332</v>
      </c>
      <c r="H313" s="594">
        <f t="shared" si="83"/>
        <v>38890</v>
      </c>
      <c r="I313" s="595">
        <f t="shared" si="83"/>
        <v>0</v>
      </c>
      <c r="J313" s="596">
        <f t="shared" si="83"/>
        <v>0</v>
      </c>
      <c r="K313" s="594">
        <f t="shared" si="83"/>
        <v>0</v>
      </c>
      <c r="L313" s="597">
        <f t="shared" si="83"/>
        <v>0</v>
      </c>
      <c r="M313" s="593">
        <f t="shared" si="83"/>
        <v>0</v>
      </c>
      <c r="N313" s="594">
        <f t="shared" si="83"/>
        <v>0</v>
      </c>
      <c r="O313" s="595">
        <f t="shared" si="83"/>
        <v>0</v>
      </c>
      <c r="P313" s="596">
        <f t="shared" si="83"/>
        <v>0</v>
      </c>
      <c r="Q313" s="594">
        <f t="shared" si="83"/>
        <v>0</v>
      </c>
      <c r="R313" s="597">
        <f t="shared" si="83"/>
        <v>0</v>
      </c>
      <c r="S313" s="593">
        <f t="shared" si="83"/>
        <v>0</v>
      </c>
      <c r="T313" s="594">
        <f t="shared" si="83"/>
        <v>0</v>
      </c>
      <c r="U313" s="595">
        <f t="shared" si="83"/>
        <v>0</v>
      </c>
      <c r="V313" s="596">
        <f t="shared" si="83"/>
        <v>0</v>
      </c>
      <c r="W313" s="594">
        <f t="shared" si="83"/>
        <v>0</v>
      </c>
      <c r="X313" s="597">
        <f t="shared" si="83"/>
        <v>0</v>
      </c>
      <c r="Y313" s="593">
        <f t="shared" si="83"/>
        <v>0</v>
      </c>
      <c r="Z313" s="594">
        <f t="shared" si="83"/>
        <v>0</v>
      </c>
      <c r="AA313" s="595">
        <f t="shared" si="83"/>
        <v>0</v>
      </c>
      <c r="AB313" s="596">
        <f t="shared" si="83"/>
        <v>0</v>
      </c>
      <c r="AC313" s="594">
        <f t="shared" si="83"/>
        <v>0</v>
      </c>
      <c r="AD313" s="597">
        <f t="shared" si="83"/>
        <v>0</v>
      </c>
      <c r="AE313" s="593">
        <f t="shared" si="83"/>
        <v>0</v>
      </c>
      <c r="AF313" s="594">
        <f t="shared" si="83"/>
        <v>0</v>
      </c>
      <c r="AG313" s="595">
        <f t="shared" si="83"/>
        <v>0</v>
      </c>
      <c r="AH313" s="596">
        <f t="shared" si="83"/>
        <v>0</v>
      </c>
      <c r="AI313" s="594">
        <f t="shared" si="83"/>
        <v>0</v>
      </c>
      <c r="AJ313" s="597">
        <f t="shared" si="83"/>
        <v>0</v>
      </c>
      <c r="AK313" s="593">
        <f t="shared" si="83"/>
        <v>0</v>
      </c>
      <c r="AL313" s="594">
        <f t="shared" si="83"/>
        <v>0</v>
      </c>
      <c r="AM313" s="595">
        <f t="shared" ref="AM313:BW313" si="84">SUM(AM299:AM312)</f>
        <v>0</v>
      </c>
      <c r="AN313" s="596">
        <f t="shared" si="84"/>
        <v>825764</v>
      </c>
      <c r="AO313" s="594">
        <f t="shared" si="84"/>
        <v>0</v>
      </c>
      <c r="AP313" s="597">
        <f t="shared" si="84"/>
        <v>0</v>
      </c>
      <c r="AQ313" s="593">
        <f t="shared" si="84"/>
        <v>0</v>
      </c>
      <c r="AR313" s="594">
        <f t="shared" si="84"/>
        <v>0</v>
      </c>
      <c r="AS313" s="595">
        <f t="shared" si="84"/>
        <v>0</v>
      </c>
      <c r="AT313" s="596">
        <f t="shared" si="84"/>
        <v>0</v>
      </c>
      <c r="AU313" s="594">
        <f t="shared" si="84"/>
        <v>0</v>
      </c>
      <c r="AV313" s="597">
        <f t="shared" si="84"/>
        <v>0</v>
      </c>
      <c r="AW313" s="593">
        <f t="shared" si="84"/>
        <v>1010568</v>
      </c>
      <c r="AX313" s="594">
        <f t="shared" si="84"/>
        <v>38890</v>
      </c>
      <c r="AY313" s="595">
        <f t="shared" si="84"/>
        <v>0</v>
      </c>
      <c r="AZ313" s="596">
        <f t="shared" si="84"/>
        <v>0</v>
      </c>
      <c r="BA313" s="594">
        <f t="shared" si="84"/>
        <v>0</v>
      </c>
      <c r="BB313" s="597">
        <f t="shared" si="84"/>
        <v>0</v>
      </c>
      <c r="BC313" s="593">
        <f t="shared" si="84"/>
        <v>0</v>
      </c>
      <c r="BD313" s="594">
        <f t="shared" si="84"/>
        <v>0</v>
      </c>
      <c r="BE313" s="595">
        <f t="shared" si="84"/>
        <v>0</v>
      </c>
      <c r="BF313" s="596">
        <f t="shared" si="84"/>
        <v>0</v>
      </c>
      <c r="BG313" s="594">
        <f t="shared" si="84"/>
        <v>0</v>
      </c>
      <c r="BH313" s="597">
        <f t="shared" si="84"/>
        <v>0</v>
      </c>
      <c r="BI313" s="593">
        <f t="shared" si="84"/>
        <v>0</v>
      </c>
      <c r="BJ313" s="594">
        <f t="shared" si="84"/>
        <v>0</v>
      </c>
      <c r="BK313" s="595">
        <f t="shared" si="84"/>
        <v>0</v>
      </c>
      <c r="BL313" s="596">
        <f t="shared" si="84"/>
        <v>0</v>
      </c>
      <c r="BM313" s="594">
        <f t="shared" si="84"/>
        <v>0</v>
      </c>
      <c r="BN313" s="597">
        <f t="shared" si="84"/>
        <v>0</v>
      </c>
      <c r="BO313" s="593">
        <f t="shared" si="84"/>
        <v>0</v>
      </c>
      <c r="BP313" s="594">
        <f t="shared" si="84"/>
        <v>0</v>
      </c>
      <c r="BQ313" s="595">
        <f t="shared" si="84"/>
        <v>0</v>
      </c>
      <c r="BR313" s="596">
        <f t="shared" si="84"/>
        <v>1836332</v>
      </c>
      <c r="BS313" s="594">
        <f t="shared" si="84"/>
        <v>38890</v>
      </c>
      <c r="BT313" s="597">
        <f t="shared" si="84"/>
        <v>0</v>
      </c>
      <c r="BU313" s="593">
        <f t="shared" si="84"/>
        <v>0</v>
      </c>
      <c r="BV313" s="594">
        <f t="shared" si="84"/>
        <v>0</v>
      </c>
      <c r="BW313" s="595">
        <f t="shared" si="84"/>
        <v>0</v>
      </c>
    </row>
    <row r="314" spans="1:75" ht="11.25" customHeight="1">
      <c r="A314" s="470" t="s">
        <v>49</v>
      </c>
      <c r="B314" s="471">
        <v>563</v>
      </c>
      <c r="C314" s="471" t="s">
        <v>39</v>
      </c>
      <c r="D314" s="472">
        <v>3111</v>
      </c>
      <c r="E314" s="473" t="s">
        <v>50</v>
      </c>
      <c r="F314" s="474" t="s">
        <v>689</v>
      </c>
      <c r="G314" s="625">
        <f t="shared" ref="G314:I331" si="85">BR314+BU314</f>
        <v>2266422</v>
      </c>
      <c r="H314" s="626">
        <f t="shared" si="85"/>
        <v>238960</v>
      </c>
      <c r="I314" s="627">
        <f t="shared" si="85"/>
        <v>0</v>
      </c>
      <c r="J314" s="567">
        <v>944500</v>
      </c>
      <c r="K314" s="568"/>
      <c r="L314" s="569"/>
      <c r="M314" s="570"/>
      <c r="N314" s="568"/>
      <c r="O314" s="571"/>
      <c r="P314" s="567"/>
      <c r="Q314" s="568"/>
      <c r="R314" s="569"/>
      <c r="S314" s="570"/>
      <c r="T314" s="568"/>
      <c r="U314" s="571"/>
      <c r="V314" s="567"/>
      <c r="W314" s="568"/>
      <c r="X314" s="569"/>
      <c r="Y314" s="572">
        <f t="shared" ref="Y314:AA336" si="86">J314+M314+P314+S314+V314</f>
        <v>944500</v>
      </c>
      <c r="Z314" s="573">
        <f t="shared" si="86"/>
        <v>0</v>
      </c>
      <c r="AA314" s="574">
        <f t="shared" si="86"/>
        <v>0</v>
      </c>
      <c r="AB314" s="567"/>
      <c r="AC314" s="568"/>
      <c r="AD314" s="569"/>
      <c r="AE314" s="570"/>
      <c r="AF314" s="568"/>
      <c r="AG314" s="571"/>
      <c r="AH314" s="610">
        <v>744522</v>
      </c>
      <c r="AI314" s="611">
        <v>238960</v>
      </c>
      <c r="AJ314" s="612"/>
      <c r="AK314" s="613"/>
      <c r="AL314" s="611"/>
      <c r="AM314" s="614"/>
      <c r="AN314" s="610">
        <v>172000</v>
      </c>
      <c r="AO314" s="611"/>
      <c r="AP314" s="612"/>
      <c r="AQ314" s="613"/>
      <c r="AR314" s="611"/>
      <c r="AS314" s="614"/>
      <c r="AT314" s="610"/>
      <c r="AU314" s="611"/>
      <c r="AV314" s="612"/>
      <c r="AW314" s="613">
        <f>84760</f>
        <v>84760</v>
      </c>
      <c r="AX314" s="611"/>
      <c r="AY314" s="571"/>
      <c r="AZ314" s="567"/>
      <c r="BA314" s="568"/>
      <c r="BB314" s="569"/>
      <c r="BC314" s="570"/>
      <c r="BD314" s="568"/>
      <c r="BE314" s="571"/>
      <c r="BF314" s="567"/>
      <c r="BG314" s="568"/>
      <c r="BH314" s="569"/>
      <c r="BI314" s="570"/>
      <c r="BJ314" s="568"/>
      <c r="BK314" s="571"/>
      <c r="BL314" s="610">
        <f>320640</f>
        <v>320640</v>
      </c>
      <c r="BM314" s="568"/>
      <c r="BN314" s="569"/>
      <c r="BO314" s="570"/>
      <c r="BP314" s="568"/>
      <c r="BQ314" s="571"/>
      <c r="BR314" s="575">
        <f t="shared" ref="BR314:BT336" si="87">AB314+AE314+AH314+AK314+AN314+AQ314+AT314+AW314+AZ314+BC314+BF314+BI314+BL314+BO314+Y314</f>
        <v>2266422</v>
      </c>
      <c r="BS314" s="576">
        <f t="shared" si="87"/>
        <v>238960</v>
      </c>
      <c r="BT314" s="577">
        <f t="shared" si="87"/>
        <v>0</v>
      </c>
      <c r="BU314" s="578"/>
      <c r="BV314" s="579"/>
      <c r="BW314" s="580"/>
    </row>
    <row r="315" spans="1:75" ht="11.25" customHeight="1">
      <c r="A315" s="470" t="s">
        <v>49</v>
      </c>
      <c r="B315" s="471">
        <v>563</v>
      </c>
      <c r="C315" s="471" t="s">
        <v>39</v>
      </c>
      <c r="D315" s="521">
        <v>3132</v>
      </c>
      <c r="E315" s="522" t="s">
        <v>52</v>
      </c>
      <c r="F315" s="474" t="s">
        <v>689</v>
      </c>
      <c r="G315" s="628">
        <f t="shared" si="85"/>
        <v>106319</v>
      </c>
      <c r="H315" s="629">
        <f t="shared" si="85"/>
        <v>39428</v>
      </c>
      <c r="I315" s="630">
        <f t="shared" si="85"/>
        <v>0</v>
      </c>
      <c r="J315" s="500"/>
      <c r="K315" s="501"/>
      <c r="L315" s="502"/>
      <c r="M315" s="503"/>
      <c r="N315" s="501"/>
      <c r="O315" s="504"/>
      <c r="P315" s="500"/>
      <c r="Q315" s="501"/>
      <c r="R315" s="502"/>
      <c r="S315" s="503"/>
      <c r="T315" s="501"/>
      <c r="U315" s="504"/>
      <c r="V315" s="500"/>
      <c r="W315" s="501"/>
      <c r="X315" s="502"/>
      <c r="Y315" s="505">
        <f t="shared" si="86"/>
        <v>0</v>
      </c>
      <c r="Z315" s="506">
        <f t="shared" si="86"/>
        <v>0</v>
      </c>
      <c r="AA315" s="507">
        <f t="shared" si="86"/>
        <v>0</v>
      </c>
      <c r="AB315" s="500"/>
      <c r="AC315" s="501"/>
      <c r="AD315" s="502"/>
      <c r="AE315" s="503"/>
      <c r="AF315" s="501"/>
      <c r="AG315" s="504"/>
      <c r="AH315" s="615">
        <v>39428</v>
      </c>
      <c r="AI315" s="657">
        <f>39428</f>
        <v>39428</v>
      </c>
      <c r="AJ315" s="617"/>
      <c r="AK315" s="618"/>
      <c r="AL315" s="616"/>
      <c r="AM315" s="619"/>
      <c r="AN315" s="615"/>
      <c r="AO315" s="616"/>
      <c r="AP315" s="617"/>
      <c r="AQ315" s="618"/>
      <c r="AR315" s="616"/>
      <c r="AS315" s="619"/>
      <c r="AT315" s="615"/>
      <c r="AU315" s="616"/>
      <c r="AV315" s="617"/>
      <c r="AW315" s="618">
        <v>13985</v>
      </c>
      <c r="AX315" s="616"/>
      <c r="AY315" s="504"/>
      <c r="AZ315" s="500"/>
      <c r="BA315" s="501"/>
      <c r="BB315" s="502"/>
      <c r="BC315" s="503"/>
      <c r="BD315" s="501"/>
      <c r="BE315" s="504"/>
      <c r="BF315" s="500"/>
      <c r="BG315" s="501"/>
      <c r="BH315" s="502"/>
      <c r="BI315" s="503"/>
      <c r="BJ315" s="501"/>
      <c r="BK315" s="504"/>
      <c r="BL315" s="615">
        <f>52906</f>
        <v>52906</v>
      </c>
      <c r="BM315" s="501"/>
      <c r="BN315" s="502"/>
      <c r="BO315" s="503"/>
      <c r="BP315" s="501"/>
      <c r="BQ315" s="504"/>
      <c r="BR315" s="513">
        <f t="shared" si="87"/>
        <v>106319</v>
      </c>
      <c r="BS315" s="514">
        <f t="shared" si="87"/>
        <v>39428</v>
      </c>
      <c r="BT315" s="515">
        <f t="shared" si="87"/>
        <v>0</v>
      </c>
      <c r="BU315" s="516"/>
      <c r="BV315" s="517"/>
      <c r="BW315" s="518"/>
    </row>
    <row r="316" spans="1:75" ht="11.25" customHeight="1">
      <c r="A316" s="470" t="s">
        <v>49</v>
      </c>
      <c r="B316" s="471">
        <v>563</v>
      </c>
      <c r="C316" s="471" t="s">
        <v>39</v>
      </c>
      <c r="D316" s="521">
        <v>3211</v>
      </c>
      <c r="E316" s="522" t="s">
        <v>60</v>
      </c>
      <c r="F316" s="474" t="s">
        <v>689</v>
      </c>
      <c r="G316" s="628">
        <f t="shared" si="85"/>
        <v>893252</v>
      </c>
      <c r="H316" s="629">
        <f t="shared" si="85"/>
        <v>113000</v>
      </c>
      <c r="I316" s="630">
        <f t="shared" si="85"/>
        <v>0</v>
      </c>
      <c r="J316" s="500">
        <v>150000</v>
      </c>
      <c r="K316" s="501"/>
      <c r="L316" s="502"/>
      <c r="M316" s="503"/>
      <c r="N316" s="501"/>
      <c r="O316" s="504"/>
      <c r="P316" s="500"/>
      <c r="Q316" s="501"/>
      <c r="R316" s="502"/>
      <c r="S316" s="503"/>
      <c r="T316" s="501"/>
      <c r="U316" s="504"/>
      <c r="V316" s="500"/>
      <c r="W316" s="501"/>
      <c r="X316" s="502"/>
      <c r="Y316" s="505">
        <f t="shared" si="86"/>
        <v>150000</v>
      </c>
      <c r="Z316" s="506">
        <f t="shared" si="86"/>
        <v>0</v>
      </c>
      <c r="AA316" s="507">
        <f t="shared" si="86"/>
        <v>0</v>
      </c>
      <c r="AB316" s="500"/>
      <c r="AC316" s="501"/>
      <c r="AD316" s="502"/>
      <c r="AE316" s="503"/>
      <c r="AF316" s="501"/>
      <c r="AG316" s="504"/>
      <c r="AH316" s="615">
        <v>242074</v>
      </c>
      <c r="AI316" s="616">
        <f>113000</f>
        <v>113000</v>
      </c>
      <c r="AJ316" s="617"/>
      <c r="AK316" s="618"/>
      <c r="AL316" s="616"/>
      <c r="AM316" s="619"/>
      <c r="AN316" s="615">
        <v>7000</v>
      </c>
      <c r="AO316" s="616"/>
      <c r="AP316" s="617"/>
      <c r="AQ316" s="618"/>
      <c r="AR316" s="616"/>
      <c r="AS316" s="619"/>
      <c r="AT316" s="615"/>
      <c r="AU316" s="616"/>
      <c r="AV316" s="617"/>
      <c r="AW316" s="618">
        <f>59508</f>
        <v>59508</v>
      </c>
      <c r="AX316" s="616"/>
      <c r="AY316" s="504"/>
      <c r="AZ316" s="500"/>
      <c r="BA316" s="501"/>
      <c r="BB316" s="502"/>
      <c r="BC316" s="503"/>
      <c r="BD316" s="501"/>
      <c r="BE316" s="504"/>
      <c r="BF316" s="500"/>
      <c r="BG316" s="501"/>
      <c r="BH316" s="502"/>
      <c r="BI316" s="503"/>
      <c r="BJ316" s="501"/>
      <c r="BK316" s="504"/>
      <c r="BL316" s="615">
        <f>434670</f>
        <v>434670</v>
      </c>
      <c r="BM316" s="501"/>
      <c r="BN316" s="502"/>
      <c r="BO316" s="503"/>
      <c r="BP316" s="501"/>
      <c r="BQ316" s="504"/>
      <c r="BR316" s="513">
        <f t="shared" si="87"/>
        <v>893252</v>
      </c>
      <c r="BS316" s="514">
        <f t="shared" si="87"/>
        <v>113000</v>
      </c>
      <c r="BT316" s="515">
        <f t="shared" si="87"/>
        <v>0</v>
      </c>
      <c r="BU316" s="516"/>
      <c r="BV316" s="517"/>
      <c r="BW316" s="518"/>
    </row>
    <row r="317" spans="1:75" ht="11.25" customHeight="1">
      <c r="A317" s="470" t="s">
        <v>49</v>
      </c>
      <c r="B317" s="471">
        <v>563</v>
      </c>
      <c r="C317" s="471" t="s">
        <v>39</v>
      </c>
      <c r="D317" s="521">
        <v>3213</v>
      </c>
      <c r="E317" s="522" t="s">
        <v>64</v>
      </c>
      <c r="F317" s="474" t="s">
        <v>689</v>
      </c>
      <c r="G317" s="628">
        <f t="shared" si="85"/>
        <v>656769</v>
      </c>
      <c r="H317" s="629">
        <f t="shared" si="85"/>
        <v>100000</v>
      </c>
      <c r="I317" s="630">
        <f t="shared" si="85"/>
        <v>0</v>
      </c>
      <c r="J317" s="500"/>
      <c r="K317" s="501"/>
      <c r="L317" s="502"/>
      <c r="M317" s="503"/>
      <c r="N317" s="501"/>
      <c r="O317" s="504"/>
      <c r="P317" s="500"/>
      <c r="Q317" s="501"/>
      <c r="R317" s="502"/>
      <c r="S317" s="503"/>
      <c r="T317" s="501"/>
      <c r="U317" s="504"/>
      <c r="V317" s="500"/>
      <c r="W317" s="501"/>
      <c r="X317" s="502"/>
      <c r="Y317" s="505">
        <f t="shared" si="86"/>
        <v>0</v>
      </c>
      <c r="Z317" s="506">
        <f t="shared" si="86"/>
        <v>0</v>
      </c>
      <c r="AA317" s="507">
        <f t="shared" si="86"/>
        <v>0</v>
      </c>
      <c r="AB317" s="500"/>
      <c r="AC317" s="501"/>
      <c r="AD317" s="502"/>
      <c r="AE317" s="503"/>
      <c r="AF317" s="501"/>
      <c r="AG317" s="504"/>
      <c r="AH317" s="615">
        <v>432989</v>
      </c>
      <c r="AI317" s="616">
        <v>100000</v>
      </c>
      <c r="AJ317" s="617"/>
      <c r="AK317" s="618"/>
      <c r="AL317" s="616"/>
      <c r="AM317" s="619"/>
      <c r="AN317" s="615">
        <v>37500</v>
      </c>
      <c r="AO317" s="616"/>
      <c r="AP317" s="617"/>
      <c r="AQ317" s="618"/>
      <c r="AR317" s="616"/>
      <c r="AS317" s="619"/>
      <c r="AT317" s="615"/>
      <c r="AU317" s="616"/>
      <c r="AV317" s="617"/>
      <c r="AW317" s="618">
        <v>21280</v>
      </c>
      <c r="AX317" s="616"/>
      <c r="AY317" s="504"/>
      <c r="AZ317" s="500"/>
      <c r="BA317" s="501"/>
      <c r="BB317" s="502"/>
      <c r="BC317" s="503"/>
      <c r="BD317" s="501"/>
      <c r="BE317" s="504"/>
      <c r="BF317" s="500"/>
      <c r="BG317" s="501"/>
      <c r="BH317" s="502"/>
      <c r="BI317" s="503"/>
      <c r="BJ317" s="501"/>
      <c r="BK317" s="504"/>
      <c r="BL317" s="615">
        <v>165000</v>
      </c>
      <c r="BM317" s="501"/>
      <c r="BN317" s="502"/>
      <c r="BO317" s="503"/>
      <c r="BP317" s="501"/>
      <c r="BQ317" s="504"/>
      <c r="BR317" s="513">
        <f t="shared" si="87"/>
        <v>656769</v>
      </c>
      <c r="BS317" s="514">
        <f t="shared" si="87"/>
        <v>100000</v>
      </c>
      <c r="BT317" s="515">
        <f t="shared" si="87"/>
        <v>0</v>
      </c>
      <c r="BU317" s="516"/>
      <c r="BV317" s="517"/>
      <c r="BW317" s="518"/>
    </row>
    <row r="318" spans="1:75" ht="11.25" customHeight="1">
      <c r="A318" s="470" t="s">
        <v>49</v>
      </c>
      <c r="B318" s="471">
        <v>563</v>
      </c>
      <c r="C318" s="471" t="s">
        <v>39</v>
      </c>
      <c r="D318" s="521">
        <v>3221</v>
      </c>
      <c r="E318" s="522" t="s">
        <v>65</v>
      </c>
      <c r="F318" s="474" t="s">
        <v>689</v>
      </c>
      <c r="G318" s="628">
        <f t="shared" si="85"/>
        <v>562000</v>
      </c>
      <c r="H318" s="629">
        <f t="shared" si="85"/>
        <v>0</v>
      </c>
      <c r="I318" s="630">
        <f t="shared" si="85"/>
        <v>0</v>
      </c>
      <c r="J318" s="500">
        <v>380000</v>
      </c>
      <c r="K318" s="501"/>
      <c r="L318" s="502"/>
      <c r="M318" s="503"/>
      <c r="N318" s="501"/>
      <c r="O318" s="504"/>
      <c r="P318" s="500"/>
      <c r="Q318" s="501"/>
      <c r="R318" s="502"/>
      <c r="S318" s="503"/>
      <c r="T318" s="501"/>
      <c r="U318" s="504"/>
      <c r="V318" s="500"/>
      <c r="W318" s="501"/>
      <c r="X318" s="502"/>
      <c r="Y318" s="505">
        <f t="shared" si="86"/>
        <v>380000</v>
      </c>
      <c r="Z318" s="506">
        <f t="shared" si="86"/>
        <v>0</v>
      </c>
      <c r="AA318" s="507">
        <f t="shared" si="86"/>
        <v>0</v>
      </c>
      <c r="AB318" s="500"/>
      <c r="AC318" s="501"/>
      <c r="AD318" s="502"/>
      <c r="AE318" s="503"/>
      <c r="AF318" s="501"/>
      <c r="AG318" s="504"/>
      <c r="AH318" s="615"/>
      <c r="AI318" s="616"/>
      <c r="AJ318" s="617"/>
      <c r="AK318" s="618"/>
      <c r="AL318" s="616"/>
      <c r="AM318" s="619"/>
      <c r="AN318" s="615">
        <f>72000</f>
        <v>72000</v>
      </c>
      <c r="AO318" s="616"/>
      <c r="AP318" s="617"/>
      <c r="AQ318" s="618"/>
      <c r="AR318" s="616"/>
      <c r="AS318" s="619"/>
      <c r="AT318" s="615"/>
      <c r="AU318" s="616"/>
      <c r="AV318" s="617"/>
      <c r="AW318" s="618">
        <f>110000</f>
        <v>110000</v>
      </c>
      <c r="AX318" s="616"/>
      <c r="AY318" s="504"/>
      <c r="AZ318" s="500"/>
      <c r="BA318" s="501"/>
      <c r="BB318" s="502"/>
      <c r="BC318" s="503"/>
      <c r="BD318" s="501"/>
      <c r="BE318" s="504"/>
      <c r="BF318" s="500"/>
      <c r="BG318" s="501"/>
      <c r="BH318" s="502"/>
      <c r="BI318" s="503"/>
      <c r="BJ318" s="501"/>
      <c r="BK318" s="504"/>
      <c r="BL318" s="615"/>
      <c r="BM318" s="501"/>
      <c r="BN318" s="502"/>
      <c r="BO318" s="503"/>
      <c r="BP318" s="501"/>
      <c r="BQ318" s="504"/>
      <c r="BR318" s="513">
        <f t="shared" si="87"/>
        <v>562000</v>
      </c>
      <c r="BS318" s="514">
        <f t="shared" si="87"/>
        <v>0</v>
      </c>
      <c r="BT318" s="515">
        <f t="shared" si="87"/>
        <v>0</v>
      </c>
      <c r="BU318" s="516"/>
      <c r="BV318" s="517"/>
      <c r="BW318" s="518"/>
    </row>
    <row r="319" spans="1:75" ht="11.25" customHeight="1">
      <c r="A319" s="470" t="s">
        <v>49</v>
      </c>
      <c r="B319" s="471">
        <v>563</v>
      </c>
      <c r="C319" s="471" t="s">
        <v>39</v>
      </c>
      <c r="D319" s="521">
        <v>3222</v>
      </c>
      <c r="E319" s="522" t="s">
        <v>76</v>
      </c>
      <c r="F319" s="474" t="s">
        <v>689</v>
      </c>
      <c r="G319" s="628">
        <f t="shared" si="85"/>
        <v>1702164</v>
      </c>
      <c r="H319" s="629">
        <f t="shared" si="85"/>
        <v>0</v>
      </c>
      <c r="I319" s="630">
        <f t="shared" si="85"/>
        <v>0</v>
      </c>
      <c r="J319" s="500"/>
      <c r="K319" s="501"/>
      <c r="L319" s="502"/>
      <c r="M319" s="503"/>
      <c r="N319" s="501"/>
      <c r="O319" s="504"/>
      <c r="P319" s="500"/>
      <c r="Q319" s="501"/>
      <c r="R319" s="502"/>
      <c r="S319" s="503"/>
      <c r="T319" s="501"/>
      <c r="U319" s="504"/>
      <c r="V319" s="500"/>
      <c r="W319" s="501"/>
      <c r="X319" s="502"/>
      <c r="Y319" s="505">
        <f t="shared" si="86"/>
        <v>0</v>
      </c>
      <c r="Z319" s="506">
        <f t="shared" si="86"/>
        <v>0</v>
      </c>
      <c r="AA319" s="507">
        <f t="shared" si="86"/>
        <v>0</v>
      </c>
      <c r="AB319" s="500"/>
      <c r="AC319" s="501"/>
      <c r="AD319" s="502"/>
      <c r="AE319" s="503"/>
      <c r="AF319" s="501"/>
      <c r="AG319" s="504"/>
      <c r="AH319" s="615">
        <v>1547164</v>
      </c>
      <c r="AI319" s="616"/>
      <c r="AJ319" s="617"/>
      <c r="AK319" s="618"/>
      <c r="AL319" s="616"/>
      <c r="AM319" s="619"/>
      <c r="AN319" s="615"/>
      <c r="AO319" s="616"/>
      <c r="AP319" s="617"/>
      <c r="AQ319" s="618"/>
      <c r="AR319" s="616"/>
      <c r="AS319" s="619"/>
      <c r="AT319" s="615"/>
      <c r="AU319" s="616"/>
      <c r="AV319" s="617"/>
      <c r="AW319" s="618"/>
      <c r="AX319" s="616"/>
      <c r="AY319" s="504"/>
      <c r="AZ319" s="500"/>
      <c r="BA319" s="501"/>
      <c r="BB319" s="502"/>
      <c r="BC319" s="503"/>
      <c r="BD319" s="501"/>
      <c r="BE319" s="504"/>
      <c r="BF319" s="500"/>
      <c r="BG319" s="501"/>
      <c r="BH319" s="502"/>
      <c r="BI319" s="503"/>
      <c r="BJ319" s="501"/>
      <c r="BK319" s="504"/>
      <c r="BL319" s="615">
        <v>155000</v>
      </c>
      <c r="BM319" s="501"/>
      <c r="BN319" s="502"/>
      <c r="BO319" s="503"/>
      <c r="BP319" s="501"/>
      <c r="BQ319" s="504"/>
      <c r="BR319" s="513">
        <f t="shared" si="87"/>
        <v>1702164</v>
      </c>
      <c r="BS319" s="514">
        <f t="shared" si="87"/>
        <v>0</v>
      </c>
      <c r="BT319" s="515">
        <f t="shared" si="87"/>
        <v>0</v>
      </c>
      <c r="BU319" s="516"/>
      <c r="BV319" s="517"/>
      <c r="BW319" s="518"/>
    </row>
    <row r="320" spans="1:75" ht="11.25" customHeight="1">
      <c r="A320" s="470" t="s">
        <v>49</v>
      </c>
      <c r="B320" s="471">
        <v>563</v>
      </c>
      <c r="C320" s="471" t="s">
        <v>39</v>
      </c>
      <c r="D320" s="521">
        <v>3225</v>
      </c>
      <c r="E320" s="522" t="s">
        <v>78</v>
      </c>
      <c r="F320" s="474" t="s">
        <v>689</v>
      </c>
      <c r="G320" s="628">
        <f t="shared" si="85"/>
        <v>26580</v>
      </c>
      <c r="H320" s="629">
        <f t="shared" si="85"/>
        <v>0</v>
      </c>
      <c r="I320" s="630">
        <f t="shared" si="85"/>
        <v>0</v>
      </c>
      <c r="J320" s="500"/>
      <c r="K320" s="501"/>
      <c r="L320" s="502"/>
      <c r="M320" s="503"/>
      <c r="N320" s="501"/>
      <c r="O320" s="504"/>
      <c r="P320" s="500"/>
      <c r="Q320" s="501"/>
      <c r="R320" s="502"/>
      <c r="S320" s="503"/>
      <c r="T320" s="501"/>
      <c r="U320" s="504"/>
      <c r="V320" s="500"/>
      <c r="W320" s="501"/>
      <c r="X320" s="502"/>
      <c r="Y320" s="505">
        <f t="shared" si="86"/>
        <v>0</v>
      </c>
      <c r="Z320" s="506">
        <f t="shared" si="86"/>
        <v>0</v>
      </c>
      <c r="AA320" s="507">
        <f t="shared" si="86"/>
        <v>0</v>
      </c>
      <c r="AB320" s="500"/>
      <c r="AC320" s="501"/>
      <c r="AD320" s="502"/>
      <c r="AE320" s="503"/>
      <c r="AF320" s="501"/>
      <c r="AG320" s="504"/>
      <c r="AH320" s="615"/>
      <c r="AI320" s="616"/>
      <c r="AJ320" s="617"/>
      <c r="AK320" s="618"/>
      <c r="AL320" s="616"/>
      <c r="AM320" s="619"/>
      <c r="AN320" s="615"/>
      <c r="AO320" s="616"/>
      <c r="AP320" s="617"/>
      <c r="AQ320" s="618"/>
      <c r="AR320" s="616"/>
      <c r="AS320" s="619"/>
      <c r="AT320" s="615"/>
      <c r="AU320" s="616"/>
      <c r="AV320" s="617"/>
      <c r="AW320" s="618"/>
      <c r="AX320" s="616"/>
      <c r="AY320" s="504"/>
      <c r="AZ320" s="500"/>
      <c r="BA320" s="501"/>
      <c r="BB320" s="502"/>
      <c r="BC320" s="503"/>
      <c r="BD320" s="501"/>
      <c r="BE320" s="504"/>
      <c r="BF320" s="500"/>
      <c r="BG320" s="501"/>
      <c r="BH320" s="502"/>
      <c r="BI320" s="503"/>
      <c r="BJ320" s="501"/>
      <c r="BK320" s="504"/>
      <c r="BL320" s="615">
        <v>26580</v>
      </c>
      <c r="BM320" s="501"/>
      <c r="BN320" s="502"/>
      <c r="BO320" s="503"/>
      <c r="BP320" s="501"/>
      <c r="BQ320" s="504"/>
      <c r="BR320" s="513">
        <f t="shared" si="87"/>
        <v>26580</v>
      </c>
      <c r="BS320" s="514">
        <f t="shared" si="87"/>
        <v>0</v>
      </c>
      <c r="BT320" s="515">
        <f t="shared" si="87"/>
        <v>0</v>
      </c>
      <c r="BU320" s="516"/>
      <c r="BV320" s="517"/>
      <c r="BW320" s="518"/>
    </row>
    <row r="321" spans="1:75" ht="11.25" customHeight="1">
      <c r="A321" s="470" t="s">
        <v>49</v>
      </c>
      <c r="B321" s="471">
        <v>563</v>
      </c>
      <c r="C321" s="471" t="s">
        <v>39</v>
      </c>
      <c r="D321" s="521">
        <v>3232</v>
      </c>
      <c r="E321" s="522" t="s">
        <v>80</v>
      </c>
      <c r="F321" s="474" t="s">
        <v>689</v>
      </c>
      <c r="G321" s="628">
        <f t="shared" si="85"/>
        <v>189000</v>
      </c>
      <c r="H321" s="629">
        <f t="shared" si="85"/>
        <v>0</v>
      </c>
      <c r="I321" s="630">
        <f t="shared" si="85"/>
        <v>0</v>
      </c>
      <c r="J321" s="500">
        <v>150000</v>
      </c>
      <c r="K321" s="501"/>
      <c r="L321" s="502"/>
      <c r="M321" s="503"/>
      <c r="N321" s="501"/>
      <c r="O321" s="504"/>
      <c r="P321" s="500"/>
      <c r="Q321" s="501"/>
      <c r="R321" s="502"/>
      <c r="S321" s="503"/>
      <c r="T321" s="501"/>
      <c r="U321" s="504"/>
      <c r="V321" s="500"/>
      <c r="W321" s="501"/>
      <c r="X321" s="502"/>
      <c r="Y321" s="505">
        <f t="shared" si="86"/>
        <v>150000</v>
      </c>
      <c r="Z321" s="506">
        <f t="shared" si="86"/>
        <v>0</v>
      </c>
      <c r="AA321" s="507">
        <f t="shared" si="86"/>
        <v>0</v>
      </c>
      <c r="AB321" s="500"/>
      <c r="AC321" s="501"/>
      <c r="AD321" s="502"/>
      <c r="AE321" s="503"/>
      <c r="AF321" s="501"/>
      <c r="AG321" s="504"/>
      <c r="AH321" s="615">
        <v>0</v>
      </c>
      <c r="AI321" s="616"/>
      <c r="AJ321" s="617"/>
      <c r="AK321" s="618"/>
      <c r="AL321" s="616"/>
      <c r="AM321" s="619"/>
      <c r="AN321" s="615"/>
      <c r="AO321" s="616"/>
      <c r="AP321" s="617"/>
      <c r="AQ321" s="618"/>
      <c r="AR321" s="616"/>
      <c r="AS321" s="619"/>
      <c r="AT321" s="615"/>
      <c r="AU321" s="616"/>
      <c r="AV321" s="617"/>
      <c r="AW321" s="618"/>
      <c r="AX321" s="616"/>
      <c r="AY321" s="504"/>
      <c r="AZ321" s="500"/>
      <c r="BA321" s="501"/>
      <c r="BB321" s="502"/>
      <c r="BC321" s="503"/>
      <c r="BD321" s="501"/>
      <c r="BE321" s="504"/>
      <c r="BF321" s="500"/>
      <c r="BG321" s="501"/>
      <c r="BH321" s="502"/>
      <c r="BI321" s="503"/>
      <c r="BJ321" s="501"/>
      <c r="BK321" s="504"/>
      <c r="BL321" s="615">
        <v>39000</v>
      </c>
      <c r="BM321" s="501"/>
      <c r="BN321" s="502"/>
      <c r="BO321" s="503"/>
      <c r="BP321" s="501"/>
      <c r="BQ321" s="504"/>
      <c r="BR321" s="513">
        <f t="shared" si="87"/>
        <v>189000</v>
      </c>
      <c r="BS321" s="514">
        <f t="shared" si="87"/>
        <v>0</v>
      </c>
      <c r="BT321" s="515">
        <f t="shared" si="87"/>
        <v>0</v>
      </c>
      <c r="BU321" s="516"/>
      <c r="BV321" s="517"/>
      <c r="BW321" s="518"/>
    </row>
    <row r="322" spans="1:75" ht="11.25" customHeight="1">
      <c r="A322" s="470" t="s">
        <v>49</v>
      </c>
      <c r="B322" s="471">
        <v>563</v>
      </c>
      <c r="C322" s="471" t="s">
        <v>39</v>
      </c>
      <c r="D322" s="521">
        <v>3233</v>
      </c>
      <c r="E322" s="522" t="s">
        <v>81</v>
      </c>
      <c r="F322" s="474" t="s">
        <v>689</v>
      </c>
      <c r="G322" s="628">
        <f t="shared" si="85"/>
        <v>727551</v>
      </c>
      <c r="H322" s="629">
        <f t="shared" si="85"/>
        <v>0</v>
      </c>
      <c r="I322" s="630">
        <f t="shared" si="85"/>
        <v>0</v>
      </c>
      <c r="J322" s="500">
        <f>195500+416000</f>
        <v>611500</v>
      </c>
      <c r="K322" s="501"/>
      <c r="L322" s="502"/>
      <c r="M322" s="503"/>
      <c r="N322" s="501"/>
      <c r="O322" s="504"/>
      <c r="P322" s="500"/>
      <c r="Q322" s="501"/>
      <c r="R322" s="502"/>
      <c r="S322" s="503"/>
      <c r="T322" s="501"/>
      <c r="U322" s="504"/>
      <c r="V322" s="500"/>
      <c r="W322" s="501"/>
      <c r="X322" s="502"/>
      <c r="Y322" s="505">
        <f t="shared" si="86"/>
        <v>611500</v>
      </c>
      <c r="Z322" s="506">
        <f t="shared" si="86"/>
        <v>0</v>
      </c>
      <c r="AA322" s="507">
        <f t="shared" si="86"/>
        <v>0</v>
      </c>
      <c r="AB322" s="500"/>
      <c r="AC322" s="501"/>
      <c r="AD322" s="502"/>
      <c r="AE322" s="503"/>
      <c r="AF322" s="501"/>
      <c r="AG322" s="504"/>
      <c r="AH322" s="615">
        <f>62500+18751</f>
        <v>81251</v>
      </c>
      <c r="AI322" s="616"/>
      <c r="AJ322" s="617"/>
      <c r="AK322" s="618"/>
      <c r="AL322" s="616"/>
      <c r="AM322" s="619"/>
      <c r="AN322" s="615">
        <v>8800</v>
      </c>
      <c r="AO322" s="616"/>
      <c r="AP322" s="617"/>
      <c r="AQ322" s="618"/>
      <c r="AR322" s="616"/>
      <c r="AS322" s="619"/>
      <c r="AT322" s="615"/>
      <c r="AU322" s="616"/>
      <c r="AV322" s="617"/>
      <c r="AW322" s="618"/>
      <c r="AX322" s="616"/>
      <c r="AY322" s="504"/>
      <c r="AZ322" s="500"/>
      <c r="BA322" s="501"/>
      <c r="BB322" s="502"/>
      <c r="BC322" s="503"/>
      <c r="BD322" s="501"/>
      <c r="BE322" s="504"/>
      <c r="BF322" s="500"/>
      <c r="BG322" s="501"/>
      <c r="BH322" s="502"/>
      <c r="BI322" s="503"/>
      <c r="BJ322" s="501"/>
      <c r="BK322" s="504"/>
      <c r="BL322" s="615">
        <v>26000</v>
      </c>
      <c r="BM322" s="501"/>
      <c r="BN322" s="502"/>
      <c r="BO322" s="503"/>
      <c r="BP322" s="501"/>
      <c r="BQ322" s="504"/>
      <c r="BR322" s="513">
        <f t="shared" si="87"/>
        <v>727551</v>
      </c>
      <c r="BS322" s="514">
        <f t="shared" si="87"/>
        <v>0</v>
      </c>
      <c r="BT322" s="515">
        <f t="shared" si="87"/>
        <v>0</v>
      </c>
      <c r="BU322" s="516"/>
      <c r="BV322" s="517"/>
      <c r="BW322" s="518"/>
    </row>
    <row r="323" spans="1:75" ht="11.25" customHeight="1">
      <c r="A323" s="470" t="s">
        <v>49</v>
      </c>
      <c r="B323" s="471">
        <v>563</v>
      </c>
      <c r="C323" s="471" t="s">
        <v>39</v>
      </c>
      <c r="D323" s="521">
        <v>3234</v>
      </c>
      <c r="E323" s="522" t="s">
        <v>87</v>
      </c>
      <c r="F323" s="474" t="s">
        <v>689</v>
      </c>
      <c r="G323" s="628">
        <f t="shared" si="85"/>
        <v>318265</v>
      </c>
      <c r="H323" s="629">
        <f t="shared" si="85"/>
        <v>0</v>
      </c>
      <c r="I323" s="630">
        <f t="shared" si="85"/>
        <v>0</v>
      </c>
      <c r="J323" s="500"/>
      <c r="K323" s="501"/>
      <c r="L323" s="502"/>
      <c r="M323" s="503"/>
      <c r="N323" s="501"/>
      <c r="O323" s="504"/>
      <c r="P323" s="500"/>
      <c r="Q323" s="501"/>
      <c r="R323" s="502"/>
      <c r="S323" s="503"/>
      <c r="T323" s="501"/>
      <c r="U323" s="504"/>
      <c r="V323" s="500"/>
      <c r="W323" s="501"/>
      <c r="X323" s="502"/>
      <c r="Y323" s="505">
        <f t="shared" si="86"/>
        <v>0</v>
      </c>
      <c r="Z323" s="506">
        <f t="shared" si="86"/>
        <v>0</v>
      </c>
      <c r="AA323" s="507">
        <f t="shared" si="86"/>
        <v>0</v>
      </c>
      <c r="AB323" s="500"/>
      <c r="AC323" s="501"/>
      <c r="AD323" s="502"/>
      <c r="AE323" s="503"/>
      <c r="AF323" s="501"/>
      <c r="AG323" s="504"/>
      <c r="AH323" s="615">
        <v>318265</v>
      </c>
      <c r="AI323" s="616"/>
      <c r="AJ323" s="617"/>
      <c r="AK323" s="618"/>
      <c r="AL323" s="616"/>
      <c r="AM323" s="619"/>
      <c r="AN323" s="615"/>
      <c r="AO323" s="616"/>
      <c r="AP323" s="617"/>
      <c r="AQ323" s="618"/>
      <c r="AR323" s="616"/>
      <c r="AS323" s="619"/>
      <c r="AT323" s="615"/>
      <c r="AU323" s="616"/>
      <c r="AV323" s="617"/>
      <c r="AW323" s="618"/>
      <c r="AX323" s="616"/>
      <c r="AY323" s="504"/>
      <c r="AZ323" s="500"/>
      <c r="BA323" s="501"/>
      <c r="BB323" s="502"/>
      <c r="BC323" s="503"/>
      <c r="BD323" s="501"/>
      <c r="BE323" s="504"/>
      <c r="BF323" s="500"/>
      <c r="BG323" s="501"/>
      <c r="BH323" s="502"/>
      <c r="BI323" s="503"/>
      <c r="BJ323" s="501"/>
      <c r="BK323" s="504"/>
      <c r="BL323" s="615"/>
      <c r="BM323" s="501"/>
      <c r="BN323" s="502"/>
      <c r="BO323" s="503"/>
      <c r="BP323" s="501"/>
      <c r="BQ323" s="504"/>
      <c r="BR323" s="513">
        <f t="shared" si="87"/>
        <v>318265</v>
      </c>
      <c r="BS323" s="514">
        <f t="shared" si="87"/>
        <v>0</v>
      </c>
      <c r="BT323" s="515">
        <f t="shared" si="87"/>
        <v>0</v>
      </c>
      <c r="BU323" s="516"/>
      <c r="BV323" s="517"/>
      <c r="BW323" s="518"/>
    </row>
    <row r="324" spans="1:75" ht="11.25" customHeight="1">
      <c r="A324" s="470" t="s">
        <v>49</v>
      </c>
      <c r="B324" s="471">
        <v>563</v>
      </c>
      <c r="C324" s="471" t="s">
        <v>39</v>
      </c>
      <c r="D324" s="521">
        <v>3237</v>
      </c>
      <c r="E324" s="522" t="s">
        <v>62</v>
      </c>
      <c r="F324" s="474" t="s">
        <v>689</v>
      </c>
      <c r="G324" s="628">
        <f t="shared" si="85"/>
        <v>2526968</v>
      </c>
      <c r="H324" s="629">
        <f t="shared" si="85"/>
        <v>245800</v>
      </c>
      <c r="I324" s="630">
        <f t="shared" si="85"/>
        <v>0</v>
      </c>
      <c r="J324" s="500">
        <f>117327+1011000</f>
        <v>1128327</v>
      </c>
      <c r="K324" s="501"/>
      <c r="L324" s="502"/>
      <c r="M324" s="503"/>
      <c r="N324" s="501"/>
      <c r="O324" s="504"/>
      <c r="P324" s="500"/>
      <c r="Q324" s="501"/>
      <c r="R324" s="502"/>
      <c r="S324" s="503"/>
      <c r="T324" s="501"/>
      <c r="U324" s="504"/>
      <c r="V324" s="500"/>
      <c r="W324" s="501"/>
      <c r="X324" s="502"/>
      <c r="Y324" s="505">
        <f t="shared" si="86"/>
        <v>1128327</v>
      </c>
      <c r="Z324" s="506">
        <f t="shared" si="86"/>
        <v>0</v>
      </c>
      <c r="AA324" s="507">
        <f t="shared" si="86"/>
        <v>0</v>
      </c>
      <c r="AB324" s="500"/>
      <c r="AC324" s="501"/>
      <c r="AD324" s="502"/>
      <c r="AE324" s="503"/>
      <c r="AF324" s="501"/>
      <c r="AG324" s="504"/>
      <c r="AH324" s="615">
        <v>825141</v>
      </c>
      <c r="AI324" s="616">
        <v>245800</v>
      </c>
      <c r="AJ324" s="617"/>
      <c r="AK324" s="618"/>
      <c r="AL324" s="616"/>
      <c r="AM324" s="619"/>
      <c r="AN324" s="615">
        <f>82000+117500</f>
        <v>199500</v>
      </c>
      <c r="AO324" s="616"/>
      <c r="AP324" s="617"/>
      <c r="AQ324" s="618"/>
      <c r="AR324" s="616"/>
      <c r="AS324" s="619"/>
      <c r="AT324" s="615"/>
      <c r="AU324" s="616"/>
      <c r="AV324" s="617"/>
      <c r="AW324" s="618">
        <f>250000</f>
        <v>250000</v>
      </c>
      <c r="AX324" s="616"/>
      <c r="AY324" s="504"/>
      <c r="AZ324" s="500"/>
      <c r="BA324" s="501"/>
      <c r="BB324" s="502"/>
      <c r="BC324" s="503"/>
      <c r="BD324" s="501"/>
      <c r="BE324" s="504"/>
      <c r="BF324" s="500"/>
      <c r="BG324" s="501"/>
      <c r="BH324" s="502"/>
      <c r="BI324" s="503"/>
      <c r="BJ324" s="501"/>
      <c r="BK324" s="504"/>
      <c r="BL324" s="615">
        <v>124000</v>
      </c>
      <c r="BM324" s="501"/>
      <c r="BN324" s="502"/>
      <c r="BO324" s="503"/>
      <c r="BP324" s="501"/>
      <c r="BQ324" s="504"/>
      <c r="BR324" s="513">
        <f t="shared" si="87"/>
        <v>2526968</v>
      </c>
      <c r="BS324" s="514">
        <f t="shared" si="87"/>
        <v>245800</v>
      </c>
      <c r="BT324" s="515">
        <f t="shared" si="87"/>
        <v>0</v>
      </c>
      <c r="BU324" s="516"/>
      <c r="BV324" s="517"/>
      <c r="BW324" s="518"/>
    </row>
    <row r="325" spans="1:75" ht="11.25" customHeight="1">
      <c r="A325" s="470" t="s">
        <v>49</v>
      </c>
      <c r="B325" s="471">
        <v>563</v>
      </c>
      <c r="C325" s="471" t="s">
        <v>39</v>
      </c>
      <c r="D325" s="521">
        <v>3239</v>
      </c>
      <c r="E325" s="522" t="s">
        <v>66</v>
      </c>
      <c r="F325" s="474" t="s">
        <v>689</v>
      </c>
      <c r="G325" s="628">
        <f t="shared" si="85"/>
        <v>3730437</v>
      </c>
      <c r="H325" s="629">
        <f t="shared" si="85"/>
        <v>0</v>
      </c>
      <c r="I325" s="630">
        <f t="shared" si="85"/>
        <v>0</v>
      </c>
      <c r="J325" s="500">
        <v>15938</v>
      </c>
      <c r="K325" s="501"/>
      <c r="L325" s="502"/>
      <c r="M325" s="503"/>
      <c r="N325" s="501"/>
      <c r="O325" s="504"/>
      <c r="P325" s="500"/>
      <c r="Q325" s="501"/>
      <c r="R325" s="502"/>
      <c r="S325" s="503"/>
      <c r="T325" s="501"/>
      <c r="U325" s="504"/>
      <c r="V325" s="500"/>
      <c r="W325" s="501"/>
      <c r="X325" s="502"/>
      <c r="Y325" s="505">
        <f t="shared" si="86"/>
        <v>15938</v>
      </c>
      <c r="Z325" s="506">
        <f t="shared" si="86"/>
        <v>0</v>
      </c>
      <c r="AA325" s="507">
        <f t="shared" si="86"/>
        <v>0</v>
      </c>
      <c r="AB325" s="500"/>
      <c r="AC325" s="501"/>
      <c r="AD325" s="502"/>
      <c r="AE325" s="503"/>
      <c r="AF325" s="501"/>
      <c r="AG325" s="504"/>
      <c r="AH325" s="615">
        <f>23000+495833+2722333+228333</f>
        <v>3469499</v>
      </c>
      <c r="AI325" s="616"/>
      <c r="AJ325" s="617"/>
      <c r="AK325" s="618"/>
      <c r="AL325" s="616"/>
      <c r="AM325" s="619"/>
      <c r="AN325" s="615">
        <v>25000</v>
      </c>
      <c r="AO325" s="616"/>
      <c r="AP325" s="617"/>
      <c r="AQ325" s="618"/>
      <c r="AR325" s="616"/>
      <c r="AS325" s="619"/>
      <c r="AT325" s="615"/>
      <c r="AU325" s="616"/>
      <c r="AV325" s="617"/>
      <c r="AW325" s="618">
        <v>40000</v>
      </c>
      <c r="AX325" s="616"/>
      <c r="AY325" s="504"/>
      <c r="AZ325" s="500"/>
      <c r="BA325" s="501"/>
      <c r="BB325" s="502"/>
      <c r="BC325" s="503"/>
      <c r="BD325" s="501"/>
      <c r="BE325" s="504"/>
      <c r="BF325" s="500"/>
      <c r="BG325" s="501"/>
      <c r="BH325" s="502"/>
      <c r="BI325" s="503"/>
      <c r="BJ325" s="501"/>
      <c r="BK325" s="504"/>
      <c r="BL325" s="615">
        <v>180000</v>
      </c>
      <c r="BM325" s="501"/>
      <c r="BN325" s="502"/>
      <c r="BO325" s="503"/>
      <c r="BP325" s="501"/>
      <c r="BQ325" s="504"/>
      <c r="BR325" s="513">
        <f t="shared" si="87"/>
        <v>3730437</v>
      </c>
      <c r="BS325" s="514">
        <f t="shared" si="87"/>
        <v>0</v>
      </c>
      <c r="BT325" s="515">
        <f t="shared" si="87"/>
        <v>0</v>
      </c>
      <c r="BU325" s="516"/>
      <c r="BV325" s="517"/>
      <c r="BW325" s="518"/>
    </row>
    <row r="326" spans="1:75" ht="11.25" customHeight="1">
      <c r="A326" s="470" t="s">
        <v>49</v>
      </c>
      <c r="B326" s="471">
        <v>563</v>
      </c>
      <c r="C326" s="471" t="s">
        <v>39</v>
      </c>
      <c r="D326" s="521">
        <v>3293</v>
      </c>
      <c r="E326" s="522" t="s">
        <v>68</v>
      </c>
      <c r="F326" s="474" t="s">
        <v>689</v>
      </c>
      <c r="G326" s="628">
        <f t="shared" si="85"/>
        <v>48250</v>
      </c>
      <c r="H326" s="629">
        <f t="shared" si="85"/>
        <v>0</v>
      </c>
      <c r="I326" s="630">
        <f t="shared" si="85"/>
        <v>0</v>
      </c>
      <c r="J326" s="500"/>
      <c r="K326" s="501"/>
      <c r="L326" s="502"/>
      <c r="M326" s="503"/>
      <c r="N326" s="501"/>
      <c r="O326" s="504"/>
      <c r="P326" s="500"/>
      <c r="Q326" s="501"/>
      <c r="R326" s="502"/>
      <c r="S326" s="503"/>
      <c r="T326" s="501"/>
      <c r="U326" s="504"/>
      <c r="V326" s="500"/>
      <c r="W326" s="501"/>
      <c r="X326" s="502"/>
      <c r="Y326" s="505">
        <f t="shared" si="86"/>
        <v>0</v>
      </c>
      <c r="Z326" s="506">
        <f t="shared" si="86"/>
        <v>0</v>
      </c>
      <c r="AA326" s="507">
        <f t="shared" si="86"/>
        <v>0</v>
      </c>
      <c r="AB326" s="500"/>
      <c r="AC326" s="501"/>
      <c r="AD326" s="502"/>
      <c r="AE326" s="503"/>
      <c r="AF326" s="501"/>
      <c r="AG326" s="504"/>
      <c r="AH326" s="615">
        <v>43750</v>
      </c>
      <c r="AI326" s="616"/>
      <c r="AJ326" s="617"/>
      <c r="AK326" s="618"/>
      <c r="AL326" s="616"/>
      <c r="AM326" s="619"/>
      <c r="AN326" s="615">
        <v>4500</v>
      </c>
      <c r="AO326" s="616"/>
      <c r="AP326" s="617"/>
      <c r="AQ326" s="618"/>
      <c r="AR326" s="616"/>
      <c r="AS326" s="619"/>
      <c r="AT326" s="615"/>
      <c r="AU326" s="616"/>
      <c r="AV326" s="617"/>
      <c r="AW326" s="618"/>
      <c r="AX326" s="616"/>
      <c r="AY326" s="504"/>
      <c r="AZ326" s="500"/>
      <c r="BA326" s="501"/>
      <c r="BB326" s="502"/>
      <c r="BC326" s="503"/>
      <c r="BD326" s="501"/>
      <c r="BE326" s="504"/>
      <c r="BF326" s="500"/>
      <c r="BG326" s="501"/>
      <c r="BH326" s="502"/>
      <c r="BI326" s="503"/>
      <c r="BJ326" s="501"/>
      <c r="BK326" s="504"/>
      <c r="BL326" s="615"/>
      <c r="BM326" s="501"/>
      <c r="BN326" s="502"/>
      <c r="BO326" s="503"/>
      <c r="BP326" s="501"/>
      <c r="BQ326" s="504"/>
      <c r="BR326" s="513">
        <f t="shared" si="87"/>
        <v>48250</v>
      </c>
      <c r="BS326" s="514">
        <f t="shared" si="87"/>
        <v>0</v>
      </c>
      <c r="BT326" s="515">
        <f t="shared" si="87"/>
        <v>0</v>
      </c>
      <c r="BU326" s="516"/>
      <c r="BV326" s="517"/>
      <c r="BW326" s="518"/>
    </row>
    <row r="327" spans="1:75" ht="11.25" customHeight="1">
      <c r="A327" s="470" t="s">
        <v>49</v>
      </c>
      <c r="B327" s="471">
        <v>563</v>
      </c>
      <c r="C327" s="471" t="s">
        <v>39</v>
      </c>
      <c r="D327" s="521">
        <v>3299</v>
      </c>
      <c r="E327" s="522" t="s">
        <v>57</v>
      </c>
      <c r="F327" s="474" t="s">
        <v>689</v>
      </c>
      <c r="G327" s="628">
        <f t="shared" si="85"/>
        <v>44740</v>
      </c>
      <c r="H327" s="629">
        <f t="shared" si="85"/>
        <v>0</v>
      </c>
      <c r="I327" s="630">
        <f t="shared" si="85"/>
        <v>0</v>
      </c>
      <c r="J327" s="500"/>
      <c r="K327" s="501"/>
      <c r="L327" s="502"/>
      <c r="M327" s="503"/>
      <c r="N327" s="501"/>
      <c r="O327" s="504"/>
      <c r="P327" s="500"/>
      <c r="Q327" s="501"/>
      <c r="R327" s="502"/>
      <c r="S327" s="503"/>
      <c r="T327" s="501"/>
      <c r="U327" s="504"/>
      <c r="V327" s="500"/>
      <c r="W327" s="501"/>
      <c r="X327" s="502"/>
      <c r="Y327" s="505">
        <f t="shared" si="86"/>
        <v>0</v>
      </c>
      <c r="Z327" s="506">
        <f t="shared" si="86"/>
        <v>0</v>
      </c>
      <c r="AA327" s="507">
        <f t="shared" si="86"/>
        <v>0</v>
      </c>
      <c r="AB327" s="500"/>
      <c r="AC327" s="501"/>
      <c r="AD327" s="502"/>
      <c r="AE327" s="503"/>
      <c r="AF327" s="501"/>
      <c r="AG327" s="504"/>
      <c r="AH327" s="615"/>
      <c r="AI327" s="616"/>
      <c r="AJ327" s="617"/>
      <c r="AK327" s="618"/>
      <c r="AL327" s="616"/>
      <c r="AM327" s="619"/>
      <c r="AN327" s="615"/>
      <c r="AO327" s="616"/>
      <c r="AP327" s="617"/>
      <c r="AQ327" s="618"/>
      <c r="AR327" s="616"/>
      <c r="AS327" s="619"/>
      <c r="AT327" s="615"/>
      <c r="AU327" s="616"/>
      <c r="AV327" s="617"/>
      <c r="AW327" s="618">
        <f>44740</f>
        <v>44740</v>
      </c>
      <c r="AX327" s="616"/>
      <c r="AY327" s="504"/>
      <c r="AZ327" s="500"/>
      <c r="BA327" s="501"/>
      <c r="BB327" s="502"/>
      <c r="BC327" s="503"/>
      <c r="BD327" s="501"/>
      <c r="BE327" s="504"/>
      <c r="BF327" s="500"/>
      <c r="BG327" s="501"/>
      <c r="BH327" s="502"/>
      <c r="BI327" s="503"/>
      <c r="BJ327" s="501"/>
      <c r="BK327" s="504"/>
      <c r="BL327" s="615"/>
      <c r="BM327" s="501"/>
      <c r="BN327" s="502"/>
      <c r="BO327" s="503"/>
      <c r="BP327" s="501"/>
      <c r="BQ327" s="504"/>
      <c r="BR327" s="513">
        <f t="shared" si="87"/>
        <v>44740</v>
      </c>
      <c r="BS327" s="514">
        <f t="shared" si="87"/>
        <v>0</v>
      </c>
      <c r="BT327" s="515">
        <f t="shared" si="87"/>
        <v>0</v>
      </c>
      <c r="BU327" s="516"/>
      <c r="BV327" s="517"/>
      <c r="BW327" s="518"/>
    </row>
    <row r="328" spans="1:75" ht="11.25" customHeight="1">
      <c r="A328" s="470" t="s">
        <v>49</v>
      </c>
      <c r="B328" s="471">
        <v>563</v>
      </c>
      <c r="C328" s="471" t="s">
        <v>39</v>
      </c>
      <c r="D328" s="521">
        <v>3522</v>
      </c>
      <c r="E328" s="522" t="s">
        <v>755</v>
      </c>
      <c r="F328" s="474" t="s">
        <v>689</v>
      </c>
      <c r="G328" s="628">
        <f t="shared" si="85"/>
        <v>690050</v>
      </c>
      <c r="H328" s="629">
        <f t="shared" si="85"/>
        <v>0</v>
      </c>
      <c r="I328" s="630">
        <f t="shared" si="85"/>
        <v>0</v>
      </c>
      <c r="J328" s="658">
        <v>690050</v>
      </c>
      <c r="K328" s="501"/>
      <c r="L328" s="502"/>
      <c r="M328" s="503"/>
      <c r="N328" s="501"/>
      <c r="O328" s="504"/>
      <c r="P328" s="500"/>
      <c r="Q328" s="501"/>
      <c r="R328" s="502"/>
      <c r="S328" s="503"/>
      <c r="T328" s="501"/>
      <c r="U328" s="504"/>
      <c r="V328" s="500"/>
      <c r="W328" s="501"/>
      <c r="X328" s="502"/>
      <c r="Y328" s="505">
        <f t="shared" si="86"/>
        <v>690050</v>
      </c>
      <c r="Z328" s="506">
        <f t="shared" si="86"/>
        <v>0</v>
      </c>
      <c r="AA328" s="507">
        <f t="shared" si="86"/>
        <v>0</v>
      </c>
      <c r="AB328" s="500"/>
      <c r="AC328" s="501"/>
      <c r="AD328" s="502"/>
      <c r="AE328" s="503"/>
      <c r="AF328" s="501"/>
      <c r="AG328" s="504"/>
      <c r="AH328" s="615"/>
      <c r="AI328" s="616"/>
      <c r="AJ328" s="617"/>
      <c r="AK328" s="618"/>
      <c r="AL328" s="616"/>
      <c r="AM328" s="619"/>
      <c r="AN328" s="615"/>
      <c r="AO328" s="616"/>
      <c r="AP328" s="617"/>
      <c r="AQ328" s="618"/>
      <c r="AR328" s="616"/>
      <c r="AS328" s="619"/>
      <c r="AT328" s="615"/>
      <c r="AU328" s="616"/>
      <c r="AV328" s="617"/>
      <c r="AW328" s="618"/>
      <c r="AX328" s="616"/>
      <c r="AY328" s="504"/>
      <c r="AZ328" s="500"/>
      <c r="BA328" s="501"/>
      <c r="BB328" s="502"/>
      <c r="BC328" s="503"/>
      <c r="BD328" s="501"/>
      <c r="BE328" s="504"/>
      <c r="BF328" s="500"/>
      <c r="BG328" s="501"/>
      <c r="BH328" s="502"/>
      <c r="BI328" s="503"/>
      <c r="BJ328" s="501"/>
      <c r="BK328" s="504"/>
      <c r="BL328" s="615"/>
      <c r="BM328" s="501"/>
      <c r="BN328" s="502"/>
      <c r="BO328" s="503"/>
      <c r="BP328" s="501"/>
      <c r="BQ328" s="504"/>
      <c r="BR328" s="513">
        <f t="shared" si="87"/>
        <v>690050</v>
      </c>
      <c r="BS328" s="514">
        <f t="shared" si="87"/>
        <v>0</v>
      </c>
      <c r="BT328" s="515">
        <f t="shared" si="87"/>
        <v>0</v>
      </c>
      <c r="BU328" s="516"/>
      <c r="BV328" s="517"/>
      <c r="BW328" s="518"/>
    </row>
    <row r="329" spans="1:75" ht="11.25" customHeight="1">
      <c r="A329" s="470" t="s">
        <v>49</v>
      </c>
      <c r="B329" s="471">
        <v>563</v>
      </c>
      <c r="C329" s="471" t="s">
        <v>39</v>
      </c>
      <c r="D329" s="521">
        <v>3691</v>
      </c>
      <c r="E329" s="522" t="s">
        <v>36</v>
      </c>
      <c r="F329" s="474" t="s">
        <v>689</v>
      </c>
      <c r="G329" s="628">
        <f t="shared" si="85"/>
        <v>771830</v>
      </c>
      <c r="H329" s="629">
        <f t="shared" si="85"/>
        <v>0</v>
      </c>
      <c r="I329" s="630">
        <f t="shared" si="85"/>
        <v>0</v>
      </c>
      <c r="J329" s="658">
        <v>771830</v>
      </c>
      <c r="K329" s="501"/>
      <c r="L329" s="502"/>
      <c r="M329" s="503"/>
      <c r="N329" s="501"/>
      <c r="O329" s="504"/>
      <c r="P329" s="500"/>
      <c r="Q329" s="501"/>
      <c r="R329" s="502"/>
      <c r="S329" s="503"/>
      <c r="T329" s="501"/>
      <c r="U329" s="504"/>
      <c r="V329" s="500"/>
      <c r="W329" s="501"/>
      <c r="X329" s="502"/>
      <c r="Y329" s="505">
        <f t="shared" si="86"/>
        <v>771830</v>
      </c>
      <c r="Z329" s="506">
        <f t="shared" si="86"/>
        <v>0</v>
      </c>
      <c r="AA329" s="507">
        <f t="shared" si="86"/>
        <v>0</v>
      </c>
      <c r="AB329" s="500"/>
      <c r="AC329" s="501"/>
      <c r="AD329" s="502"/>
      <c r="AE329" s="503"/>
      <c r="AF329" s="501"/>
      <c r="AG329" s="504"/>
      <c r="AH329" s="615"/>
      <c r="AI329" s="616"/>
      <c r="AJ329" s="617"/>
      <c r="AK329" s="618"/>
      <c r="AL329" s="616"/>
      <c r="AM329" s="619"/>
      <c r="AN329" s="615"/>
      <c r="AO329" s="616"/>
      <c r="AP329" s="617"/>
      <c r="AQ329" s="618"/>
      <c r="AR329" s="616"/>
      <c r="AS329" s="619"/>
      <c r="AT329" s="615"/>
      <c r="AU329" s="616"/>
      <c r="AV329" s="617"/>
      <c r="AW329" s="618"/>
      <c r="AX329" s="616"/>
      <c r="AY329" s="504"/>
      <c r="AZ329" s="500"/>
      <c r="BA329" s="501"/>
      <c r="BB329" s="502"/>
      <c r="BC329" s="503"/>
      <c r="BD329" s="501"/>
      <c r="BE329" s="504"/>
      <c r="BF329" s="500"/>
      <c r="BG329" s="501"/>
      <c r="BH329" s="502"/>
      <c r="BI329" s="503"/>
      <c r="BJ329" s="501"/>
      <c r="BK329" s="504"/>
      <c r="BL329" s="615"/>
      <c r="BM329" s="501"/>
      <c r="BN329" s="502"/>
      <c r="BO329" s="503"/>
      <c r="BP329" s="501"/>
      <c r="BQ329" s="504"/>
      <c r="BR329" s="513">
        <f t="shared" si="87"/>
        <v>771830</v>
      </c>
      <c r="BS329" s="514">
        <f t="shared" si="87"/>
        <v>0</v>
      </c>
      <c r="BT329" s="515">
        <f t="shared" si="87"/>
        <v>0</v>
      </c>
      <c r="BU329" s="516"/>
      <c r="BV329" s="517"/>
      <c r="BW329" s="518"/>
    </row>
    <row r="330" spans="1:75" ht="11.25" customHeight="1">
      <c r="A330" s="470" t="s">
        <v>49</v>
      </c>
      <c r="B330" s="471">
        <v>563</v>
      </c>
      <c r="C330" s="471" t="s">
        <v>39</v>
      </c>
      <c r="D330" s="521">
        <v>3693</v>
      </c>
      <c r="E330" s="522" t="s">
        <v>37</v>
      </c>
      <c r="F330" s="474" t="s">
        <v>689</v>
      </c>
      <c r="G330" s="628">
        <f t="shared" si="85"/>
        <v>14313810</v>
      </c>
      <c r="H330" s="629">
        <f t="shared" si="85"/>
        <v>0</v>
      </c>
      <c r="I330" s="630">
        <f t="shared" si="85"/>
        <v>0</v>
      </c>
      <c r="J330" s="615">
        <v>14299810</v>
      </c>
      <c r="K330" s="501"/>
      <c r="L330" s="502"/>
      <c r="M330" s="503"/>
      <c r="N330" s="501"/>
      <c r="O330" s="504"/>
      <c r="P330" s="500"/>
      <c r="Q330" s="501"/>
      <c r="R330" s="502"/>
      <c r="S330" s="503"/>
      <c r="T330" s="501"/>
      <c r="U330" s="504"/>
      <c r="V330" s="500"/>
      <c r="W330" s="501"/>
      <c r="X330" s="502"/>
      <c r="Y330" s="505">
        <f t="shared" si="86"/>
        <v>14299810</v>
      </c>
      <c r="Z330" s="506">
        <f t="shared" si="86"/>
        <v>0</v>
      </c>
      <c r="AA330" s="507">
        <f t="shared" si="86"/>
        <v>0</v>
      </c>
      <c r="AB330" s="500"/>
      <c r="AC330" s="501"/>
      <c r="AD330" s="502"/>
      <c r="AE330" s="503"/>
      <c r="AF330" s="501"/>
      <c r="AG330" s="504"/>
      <c r="AH330" s="615"/>
      <c r="AI330" s="616"/>
      <c r="AJ330" s="617"/>
      <c r="AK330" s="618"/>
      <c r="AL330" s="616"/>
      <c r="AM330" s="619"/>
      <c r="AN330" s="615"/>
      <c r="AO330" s="616"/>
      <c r="AP330" s="617"/>
      <c r="AQ330" s="618"/>
      <c r="AR330" s="616"/>
      <c r="AS330" s="619"/>
      <c r="AT330" s="615"/>
      <c r="AU330" s="616"/>
      <c r="AV330" s="617"/>
      <c r="AW330" s="618"/>
      <c r="AX330" s="616"/>
      <c r="AY330" s="504"/>
      <c r="AZ330" s="500"/>
      <c r="BA330" s="501"/>
      <c r="BB330" s="502"/>
      <c r="BC330" s="503"/>
      <c r="BD330" s="501"/>
      <c r="BE330" s="504"/>
      <c r="BF330" s="500"/>
      <c r="BG330" s="501"/>
      <c r="BH330" s="502"/>
      <c r="BI330" s="503"/>
      <c r="BJ330" s="501"/>
      <c r="BK330" s="504"/>
      <c r="BL330" s="615">
        <v>14000</v>
      </c>
      <c r="BM330" s="501"/>
      <c r="BN330" s="502"/>
      <c r="BO330" s="503"/>
      <c r="BP330" s="501"/>
      <c r="BQ330" s="504"/>
      <c r="BR330" s="513">
        <f t="shared" si="87"/>
        <v>14313810</v>
      </c>
      <c r="BS330" s="514">
        <f t="shared" si="87"/>
        <v>0</v>
      </c>
      <c r="BT330" s="515">
        <f t="shared" si="87"/>
        <v>0</v>
      </c>
      <c r="BU330" s="516"/>
      <c r="BV330" s="517"/>
      <c r="BW330" s="518"/>
    </row>
    <row r="331" spans="1:75" ht="11.25" customHeight="1">
      <c r="A331" s="470" t="s">
        <v>49</v>
      </c>
      <c r="B331" s="471">
        <v>563</v>
      </c>
      <c r="C331" s="471" t="s">
        <v>39</v>
      </c>
      <c r="D331" s="521">
        <v>3721</v>
      </c>
      <c r="E331" s="522" t="s">
        <v>84</v>
      </c>
      <c r="F331" s="474" t="s">
        <v>689</v>
      </c>
      <c r="G331" s="628">
        <f t="shared" si="85"/>
        <v>62000</v>
      </c>
      <c r="H331" s="629">
        <f t="shared" si="85"/>
        <v>0</v>
      </c>
      <c r="I331" s="630">
        <f t="shared" si="85"/>
        <v>0</v>
      </c>
      <c r="J331" s="615">
        <v>62000</v>
      </c>
      <c r="K331" s="501"/>
      <c r="L331" s="502"/>
      <c r="M331" s="503"/>
      <c r="N331" s="501"/>
      <c r="O331" s="504"/>
      <c r="P331" s="500"/>
      <c r="Q331" s="501"/>
      <c r="R331" s="502"/>
      <c r="S331" s="503"/>
      <c r="T331" s="501"/>
      <c r="U331" s="504"/>
      <c r="V331" s="500"/>
      <c r="W331" s="501"/>
      <c r="X331" s="502"/>
      <c r="Y331" s="505">
        <f t="shared" si="86"/>
        <v>62000</v>
      </c>
      <c r="Z331" s="506">
        <f t="shared" si="86"/>
        <v>0</v>
      </c>
      <c r="AA331" s="507">
        <f t="shared" si="86"/>
        <v>0</v>
      </c>
      <c r="AB331" s="500"/>
      <c r="AC331" s="501"/>
      <c r="AD331" s="502"/>
      <c r="AE331" s="503"/>
      <c r="AF331" s="501"/>
      <c r="AG331" s="504"/>
      <c r="AH331" s="615"/>
      <c r="AI331" s="616"/>
      <c r="AJ331" s="617"/>
      <c r="AK331" s="618"/>
      <c r="AL331" s="616"/>
      <c r="AM331" s="619"/>
      <c r="AN331" s="615"/>
      <c r="AO331" s="616"/>
      <c r="AP331" s="617"/>
      <c r="AQ331" s="618"/>
      <c r="AR331" s="616"/>
      <c r="AS331" s="619"/>
      <c r="AT331" s="615"/>
      <c r="AU331" s="616"/>
      <c r="AV331" s="617"/>
      <c r="AW331" s="618"/>
      <c r="AX331" s="616"/>
      <c r="AY331" s="504"/>
      <c r="AZ331" s="500"/>
      <c r="BA331" s="501"/>
      <c r="BB331" s="502"/>
      <c r="BC331" s="503"/>
      <c r="BD331" s="501"/>
      <c r="BE331" s="504"/>
      <c r="BF331" s="500"/>
      <c r="BG331" s="501"/>
      <c r="BH331" s="502"/>
      <c r="BI331" s="503"/>
      <c r="BJ331" s="501"/>
      <c r="BK331" s="504"/>
      <c r="BL331" s="615"/>
      <c r="BM331" s="501"/>
      <c r="BN331" s="502"/>
      <c r="BO331" s="503"/>
      <c r="BP331" s="501"/>
      <c r="BQ331" s="504"/>
      <c r="BR331" s="513">
        <f t="shared" si="87"/>
        <v>62000</v>
      </c>
      <c r="BS331" s="514">
        <f t="shared" si="87"/>
        <v>0</v>
      </c>
      <c r="BT331" s="515">
        <f t="shared" si="87"/>
        <v>0</v>
      </c>
      <c r="BU331" s="516"/>
      <c r="BV331" s="517"/>
      <c r="BW331" s="518"/>
    </row>
    <row r="332" spans="1:75" ht="11.25" customHeight="1">
      <c r="A332" s="470" t="s">
        <v>49</v>
      </c>
      <c r="B332" s="471">
        <v>563</v>
      </c>
      <c r="C332" s="471" t="s">
        <v>39</v>
      </c>
      <c r="D332" s="521">
        <v>4212</v>
      </c>
      <c r="E332" s="522" t="s">
        <v>58</v>
      </c>
      <c r="F332" s="474" t="s">
        <v>689</v>
      </c>
      <c r="G332" s="628">
        <f>BR332+BU332</f>
        <v>5699512</v>
      </c>
      <c r="H332" s="629"/>
      <c r="I332" s="630"/>
      <c r="J332" s="615">
        <v>5699512</v>
      </c>
      <c r="K332" s="501"/>
      <c r="L332" s="502"/>
      <c r="M332" s="503"/>
      <c r="N332" s="501"/>
      <c r="O332" s="504"/>
      <c r="P332" s="500"/>
      <c r="Q332" s="501"/>
      <c r="R332" s="502"/>
      <c r="S332" s="503"/>
      <c r="T332" s="501"/>
      <c r="U332" s="504"/>
      <c r="V332" s="500"/>
      <c r="W332" s="501"/>
      <c r="X332" s="502"/>
      <c r="Y332" s="505">
        <f t="shared" si="86"/>
        <v>5699512</v>
      </c>
      <c r="Z332" s="506">
        <f t="shared" si="86"/>
        <v>0</v>
      </c>
      <c r="AA332" s="507">
        <f t="shared" si="86"/>
        <v>0</v>
      </c>
      <c r="AB332" s="500"/>
      <c r="AC332" s="501"/>
      <c r="AD332" s="502"/>
      <c r="AE332" s="503"/>
      <c r="AF332" s="501"/>
      <c r="AG332" s="504"/>
      <c r="AH332" s="615"/>
      <c r="AI332" s="616"/>
      <c r="AJ332" s="617"/>
      <c r="AK332" s="618"/>
      <c r="AL332" s="616"/>
      <c r="AM332" s="619"/>
      <c r="AN332" s="615"/>
      <c r="AO332" s="616"/>
      <c r="AP332" s="617"/>
      <c r="AQ332" s="618"/>
      <c r="AR332" s="616"/>
      <c r="AS332" s="619"/>
      <c r="AT332" s="615"/>
      <c r="AU332" s="616"/>
      <c r="AV332" s="617"/>
      <c r="AW332" s="618"/>
      <c r="AX332" s="616"/>
      <c r="AY332" s="504"/>
      <c r="AZ332" s="500"/>
      <c r="BA332" s="501"/>
      <c r="BB332" s="502"/>
      <c r="BC332" s="503"/>
      <c r="BD332" s="501"/>
      <c r="BE332" s="504"/>
      <c r="BF332" s="500"/>
      <c r="BG332" s="501"/>
      <c r="BH332" s="502"/>
      <c r="BI332" s="503"/>
      <c r="BJ332" s="501"/>
      <c r="BK332" s="504"/>
      <c r="BL332" s="615"/>
      <c r="BM332" s="501"/>
      <c r="BN332" s="502"/>
      <c r="BO332" s="503"/>
      <c r="BP332" s="501"/>
      <c r="BQ332" s="504"/>
      <c r="BR332" s="513">
        <f t="shared" si="87"/>
        <v>5699512</v>
      </c>
      <c r="BS332" s="514">
        <f t="shared" si="87"/>
        <v>0</v>
      </c>
      <c r="BT332" s="515">
        <f t="shared" si="87"/>
        <v>0</v>
      </c>
      <c r="BU332" s="516"/>
      <c r="BV332" s="517"/>
      <c r="BW332" s="518"/>
    </row>
    <row r="333" spans="1:75" ht="11.25" customHeight="1">
      <c r="A333" s="519" t="s">
        <v>49</v>
      </c>
      <c r="B333" s="520">
        <v>563</v>
      </c>
      <c r="C333" s="520" t="s">
        <v>39</v>
      </c>
      <c r="D333" s="521">
        <v>4221</v>
      </c>
      <c r="E333" s="522" t="s">
        <v>63</v>
      </c>
      <c r="F333" s="523" t="s">
        <v>689</v>
      </c>
      <c r="G333" s="628">
        <f>BR333+BU333</f>
        <v>4196337</v>
      </c>
      <c r="H333" s="629">
        <f t="shared" ref="H333:I336" si="88">BS333+BV333</f>
        <v>0</v>
      </c>
      <c r="I333" s="630">
        <f t="shared" si="88"/>
        <v>0</v>
      </c>
      <c r="J333" s="615">
        <f>4053597+142740</f>
        <v>4196337</v>
      </c>
      <c r="K333" s="501"/>
      <c r="L333" s="502"/>
      <c r="M333" s="503"/>
      <c r="N333" s="501"/>
      <c r="O333" s="504"/>
      <c r="P333" s="500"/>
      <c r="Q333" s="501"/>
      <c r="R333" s="502"/>
      <c r="S333" s="503"/>
      <c r="T333" s="501"/>
      <c r="U333" s="504"/>
      <c r="V333" s="500"/>
      <c r="W333" s="501"/>
      <c r="X333" s="502"/>
      <c r="Y333" s="505">
        <f t="shared" si="86"/>
        <v>4196337</v>
      </c>
      <c r="Z333" s="506">
        <f t="shared" si="86"/>
        <v>0</v>
      </c>
      <c r="AA333" s="507">
        <f t="shared" si="86"/>
        <v>0</v>
      </c>
      <c r="AB333" s="500"/>
      <c r="AC333" s="501"/>
      <c r="AD333" s="502"/>
      <c r="AE333" s="503"/>
      <c r="AF333" s="501"/>
      <c r="AG333" s="504"/>
      <c r="AH333" s="615"/>
      <c r="AI333" s="616"/>
      <c r="AJ333" s="617"/>
      <c r="AK333" s="618"/>
      <c r="AL333" s="616"/>
      <c r="AM333" s="619"/>
      <c r="AN333" s="615"/>
      <c r="AO333" s="616"/>
      <c r="AP333" s="617"/>
      <c r="AQ333" s="618"/>
      <c r="AR333" s="616"/>
      <c r="AS333" s="619"/>
      <c r="AT333" s="615"/>
      <c r="AU333" s="616"/>
      <c r="AV333" s="617"/>
      <c r="AW333" s="618"/>
      <c r="AX333" s="616"/>
      <c r="AY333" s="504"/>
      <c r="AZ333" s="500"/>
      <c r="BA333" s="501"/>
      <c r="BB333" s="502"/>
      <c r="BC333" s="503"/>
      <c r="BD333" s="501"/>
      <c r="BE333" s="504"/>
      <c r="BF333" s="500"/>
      <c r="BG333" s="501"/>
      <c r="BH333" s="502"/>
      <c r="BI333" s="503"/>
      <c r="BJ333" s="501"/>
      <c r="BK333" s="504"/>
      <c r="BL333" s="615"/>
      <c r="BM333" s="501"/>
      <c r="BN333" s="502"/>
      <c r="BO333" s="503"/>
      <c r="BP333" s="501"/>
      <c r="BQ333" s="504"/>
      <c r="BR333" s="513">
        <f t="shared" si="87"/>
        <v>4196337</v>
      </c>
      <c r="BS333" s="514">
        <f t="shared" si="87"/>
        <v>0</v>
      </c>
      <c r="BT333" s="515">
        <f t="shared" si="87"/>
        <v>0</v>
      </c>
      <c r="BU333" s="516"/>
      <c r="BV333" s="517"/>
      <c r="BW333" s="518"/>
    </row>
    <row r="334" spans="1:75" ht="11.25" customHeight="1">
      <c r="A334" s="519" t="s">
        <v>49</v>
      </c>
      <c r="B334" s="520">
        <v>563</v>
      </c>
      <c r="C334" s="520" t="s">
        <v>39</v>
      </c>
      <c r="D334" s="521">
        <v>4224</v>
      </c>
      <c r="E334" s="522" t="s">
        <v>73</v>
      </c>
      <c r="F334" s="523" t="s">
        <v>689</v>
      </c>
      <c r="G334" s="628">
        <f>BR334+BU334</f>
        <v>3802468</v>
      </c>
      <c r="H334" s="629">
        <f t="shared" si="88"/>
        <v>800000</v>
      </c>
      <c r="I334" s="630">
        <f t="shared" si="88"/>
        <v>0</v>
      </c>
      <c r="J334" s="615">
        <v>800000</v>
      </c>
      <c r="K334" s="501"/>
      <c r="L334" s="502"/>
      <c r="M334" s="503"/>
      <c r="N334" s="501"/>
      <c r="O334" s="504"/>
      <c r="P334" s="500"/>
      <c r="Q334" s="501"/>
      <c r="R334" s="502"/>
      <c r="S334" s="503"/>
      <c r="T334" s="501"/>
      <c r="U334" s="504"/>
      <c r="V334" s="500"/>
      <c r="W334" s="501"/>
      <c r="X334" s="502"/>
      <c r="Y334" s="505">
        <f t="shared" si="86"/>
        <v>800000</v>
      </c>
      <c r="Z334" s="506">
        <f t="shared" si="86"/>
        <v>0</v>
      </c>
      <c r="AA334" s="507">
        <f t="shared" si="86"/>
        <v>0</v>
      </c>
      <c r="AB334" s="500"/>
      <c r="AC334" s="501"/>
      <c r="AD334" s="502"/>
      <c r="AE334" s="503"/>
      <c r="AF334" s="501"/>
      <c r="AG334" s="504"/>
      <c r="AH334" s="615">
        <v>672588</v>
      </c>
      <c r="AI334" s="616">
        <v>800000</v>
      </c>
      <c r="AJ334" s="617"/>
      <c r="AK334" s="618"/>
      <c r="AL334" s="616"/>
      <c r="AM334" s="619"/>
      <c r="AN334" s="615"/>
      <c r="AO334" s="616"/>
      <c r="AP334" s="617"/>
      <c r="AQ334" s="503"/>
      <c r="AR334" s="501"/>
      <c r="AS334" s="504"/>
      <c r="AT334" s="500"/>
      <c r="AU334" s="501"/>
      <c r="AV334" s="502"/>
      <c r="AW334" s="503"/>
      <c r="AX334" s="501"/>
      <c r="AY334" s="504"/>
      <c r="AZ334" s="500"/>
      <c r="BA334" s="501"/>
      <c r="BB334" s="502"/>
      <c r="BC334" s="503"/>
      <c r="BD334" s="501"/>
      <c r="BE334" s="504"/>
      <c r="BF334" s="500"/>
      <c r="BG334" s="501"/>
      <c r="BH334" s="502"/>
      <c r="BI334" s="503"/>
      <c r="BJ334" s="501"/>
      <c r="BK334" s="504"/>
      <c r="BL334" s="615">
        <f>2329880</f>
        <v>2329880</v>
      </c>
      <c r="BM334" s="501"/>
      <c r="BN334" s="502"/>
      <c r="BO334" s="503"/>
      <c r="BP334" s="501"/>
      <c r="BQ334" s="504"/>
      <c r="BR334" s="513">
        <f t="shared" si="87"/>
        <v>3802468</v>
      </c>
      <c r="BS334" s="514">
        <f t="shared" si="87"/>
        <v>800000</v>
      </c>
      <c r="BT334" s="515">
        <f t="shared" si="87"/>
        <v>0</v>
      </c>
      <c r="BU334" s="516"/>
      <c r="BV334" s="517"/>
      <c r="BW334" s="518"/>
    </row>
    <row r="335" spans="1:75" ht="11.25" customHeight="1">
      <c r="A335" s="519" t="s">
        <v>49</v>
      </c>
      <c r="B335" s="520">
        <v>563</v>
      </c>
      <c r="C335" s="520" t="s">
        <v>39</v>
      </c>
      <c r="D335" s="521">
        <v>4225</v>
      </c>
      <c r="E335" s="522" t="s">
        <v>85</v>
      </c>
      <c r="F335" s="523" t="s">
        <v>689</v>
      </c>
      <c r="G335" s="628">
        <f>BR335+BU335</f>
        <v>230000</v>
      </c>
      <c r="H335" s="629">
        <f t="shared" si="88"/>
        <v>0</v>
      </c>
      <c r="I335" s="630">
        <f t="shared" si="88"/>
        <v>0</v>
      </c>
      <c r="J335" s="500"/>
      <c r="K335" s="501"/>
      <c r="L335" s="502"/>
      <c r="M335" s="503"/>
      <c r="N335" s="501"/>
      <c r="O335" s="504"/>
      <c r="P335" s="500"/>
      <c r="Q335" s="501"/>
      <c r="R335" s="502"/>
      <c r="S335" s="503"/>
      <c r="T335" s="501"/>
      <c r="U335" s="504"/>
      <c r="V335" s="500"/>
      <c r="W335" s="501"/>
      <c r="X335" s="502"/>
      <c r="Y335" s="505">
        <f t="shared" si="86"/>
        <v>0</v>
      </c>
      <c r="Z335" s="506">
        <f t="shared" si="86"/>
        <v>0</v>
      </c>
      <c r="AA335" s="507">
        <f t="shared" si="86"/>
        <v>0</v>
      </c>
      <c r="AB335" s="500"/>
      <c r="AC335" s="501"/>
      <c r="AD335" s="502"/>
      <c r="AE335" s="503"/>
      <c r="AF335" s="501"/>
      <c r="AG335" s="504"/>
      <c r="AH335" s="615"/>
      <c r="AI335" s="616"/>
      <c r="AJ335" s="617"/>
      <c r="AK335" s="618"/>
      <c r="AL335" s="616"/>
      <c r="AM335" s="619"/>
      <c r="AN335" s="615"/>
      <c r="AO335" s="616"/>
      <c r="AP335" s="617"/>
      <c r="AQ335" s="503"/>
      <c r="AR335" s="501"/>
      <c r="AS335" s="504"/>
      <c r="AT335" s="500"/>
      <c r="AU335" s="501"/>
      <c r="AV335" s="502"/>
      <c r="AW335" s="503"/>
      <c r="AX335" s="501"/>
      <c r="AY335" s="504"/>
      <c r="AZ335" s="500"/>
      <c r="BA335" s="501"/>
      <c r="BB335" s="502"/>
      <c r="BC335" s="503"/>
      <c r="BD335" s="501"/>
      <c r="BE335" s="504"/>
      <c r="BF335" s="500"/>
      <c r="BG335" s="501"/>
      <c r="BH335" s="502"/>
      <c r="BI335" s="503"/>
      <c r="BJ335" s="501"/>
      <c r="BK335" s="504"/>
      <c r="BL335" s="615">
        <v>230000</v>
      </c>
      <c r="BM335" s="501"/>
      <c r="BN335" s="502"/>
      <c r="BO335" s="503"/>
      <c r="BP335" s="501"/>
      <c r="BQ335" s="504"/>
      <c r="BR335" s="513">
        <f t="shared" si="87"/>
        <v>230000</v>
      </c>
      <c r="BS335" s="514">
        <f t="shared" si="87"/>
        <v>0</v>
      </c>
      <c r="BT335" s="515">
        <f t="shared" si="87"/>
        <v>0</v>
      </c>
      <c r="BU335" s="516"/>
      <c r="BV335" s="517"/>
      <c r="BW335" s="518"/>
    </row>
    <row r="336" spans="1:75" ht="11.25" customHeight="1" thickBot="1">
      <c r="A336" s="524" t="s">
        <v>49</v>
      </c>
      <c r="B336" s="525">
        <v>563</v>
      </c>
      <c r="C336" s="525" t="s">
        <v>39</v>
      </c>
      <c r="D336" s="526">
        <v>4227</v>
      </c>
      <c r="E336" s="527" t="s">
        <v>93</v>
      </c>
      <c r="F336" s="528" t="s">
        <v>689</v>
      </c>
      <c r="G336" s="529">
        <f>BR336+BU336</f>
        <v>35000</v>
      </c>
      <c r="H336" s="530">
        <f t="shared" si="88"/>
        <v>0</v>
      </c>
      <c r="I336" s="531">
        <f t="shared" si="88"/>
        <v>0</v>
      </c>
      <c r="J336" s="532"/>
      <c r="K336" s="533"/>
      <c r="L336" s="534"/>
      <c r="M336" s="535"/>
      <c r="N336" s="533"/>
      <c r="O336" s="536"/>
      <c r="P336" s="532"/>
      <c r="Q336" s="533"/>
      <c r="R336" s="534"/>
      <c r="S336" s="535"/>
      <c r="T336" s="533"/>
      <c r="U336" s="536"/>
      <c r="V336" s="532"/>
      <c r="W336" s="533"/>
      <c r="X336" s="534"/>
      <c r="Y336" s="537">
        <f t="shared" si="86"/>
        <v>0</v>
      </c>
      <c r="Z336" s="538">
        <f t="shared" si="86"/>
        <v>0</v>
      </c>
      <c r="AA336" s="539">
        <f t="shared" si="86"/>
        <v>0</v>
      </c>
      <c r="AB336" s="532"/>
      <c r="AC336" s="533"/>
      <c r="AD336" s="534"/>
      <c r="AE336" s="535"/>
      <c r="AF336" s="533"/>
      <c r="AG336" s="536"/>
      <c r="AH336" s="620"/>
      <c r="AI336" s="621"/>
      <c r="AJ336" s="622"/>
      <c r="AK336" s="623"/>
      <c r="AL336" s="621"/>
      <c r="AM336" s="624"/>
      <c r="AN336" s="620"/>
      <c r="AO336" s="621"/>
      <c r="AP336" s="622"/>
      <c r="AQ336" s="535"/>
      <c r="AR336" s="533"/>
      <c r="AS336" s="536"/>
      <c r="AT336" s="532"/>
      <c r="AU336" s="533"/>
      <c r="AV336" s="534"/>
      <c r="AW336" s="535">
        <v>35000</v>
      </c>
      <c r="AX336" s="533"/>
      <c r="AY336" s="536"/>
      <c r="AZ336" s="532"/>
      <c r="BA336" s="533"/>
      <c r="BB336" s="534"/>
      <c r="BC336" s="535"/>
      <c r="BD336" s="533"/>
      <c r="BE336" s="536"/>
      <c r="BF336" s="532"/>
      <c r="BG336" s="533"/>
      <c r="BH336" s="534"/>
      <c r="BI336" s="535"/>
      <c r="BJ336" s="533"/>
      <c r="BK336" s="536"/>
      <c r="BL336" s="620"/>
      <c r="BM336" s="533"/>
      <c r="BN336" s="534"/>
      <c r="BO336" s="535"/>
      <c r="BP336" s="533"/>
      <c r="BQ336" s="536"/>
      <c r="BR336" s="546">
        <f t="shared" si="87"/>
        <v>35000</v>
      </c>
      <c r="BS336" s="547">
        <f t="shared" si="87"/>
        <v>0</v>
      </c>
      <c r="BT336" s="548">
        <f t="shared" si="87"/>
        <v>0</v>
      </c>
      <c r="BU336" s="549"/>
      <c r="BV336" s="550"/>
      <c r="BW336" s="551"/>
    </row>
    <row r="337" spans="1:75" s="598" customFormat="1" ht="11.25" customHeight="1" thickBot="1">
      <c r="A337" s="659" t="s">
        <v>49</v>
      </c>
      <c r="B337" s="660">
        <v>563</v>
      </c>
      <c r="C337" s="660" t="s">
        <v>39</v>
      </c>
      <c r="D337" s="661"/>
      <c r="E337" s="662" t="s">
        <v>742</v>
      </c>
      <c r="F337" s="663" t="s">
        <v>689</v>
      </c>
      <c r="G337" s="664">
        <f t="shared" ref="G337:AL337" si="89">SUM(G314:G336)</f>
        <v>43599724</v>
      </c>
      <c r="H337" s="665">
        <f t="shared" si="89"/>
        <v>1537188</v>
      </c>
      <c r="I337" s="666">
        <f t="shared" si="89"/>
        <v>0</v>
      </c>
      <c r="J337" s="667">
        <f t="shared" si="89"/>
        <v>29899804</v>
      </c>
      <c r="K337" s="665">
        <f t="shared" si="89"/>
        <v>0</v>
      </c>
      <c r="L337" s="668">
        <f t="shared" si="89"/>
        <v>0</v>
      </c>
      <c r="M337" s="664">
        <f t="shared" si="89"/>
        <v>0</v>
      </c>
      <c r="N337" s="665">
        <f t="shared" si="89"/>
        <v>0</v>
      </c>
      <c r="O337" s="666">
        <f t="shared" si="89"/>
        <v>0</v>
      </c>
      <c r="P337" s="667">
        <f t="shared" si="89"/>
        <v>0</v>
      </c>
      <c r="Q337" s="665">
        <f t="shared" si="89"/>
        <v>0</v>
      </c>
      <c r="R337" s="668">
        <f t="shared" si="89"/>
        <v>0</v>
      </c>
      <c r="S337" s="664">
        <f t="shared" si="89"/>
        <v>0</v>
      </c>
      <c r="T337" s="665">
        <f t="shared" si="89"/>
        <v>0</v>
      </c>
      <c r="U337" s="666">
        <f t="shared" si="89"/>
        <v>0</v>
      </c>
      <c r="V337" s="667">
        <f t="shared" si="89"/>
        <v>0</v>
      </c>
      <c r="W337" s="665">
        <f t="shared" si="89"/>
        <v>0</v>
      </c>
      <c r="X337" s="668">
        <f t="shared" si="89"/>
        <v>0</v>
      </c>
      <c r="Y337" s="664">
        <f t="shared" si="89"/>
        <v>29899804</v>
      </c>
      <c r="Z337" s="665">
        <f t="shared" si="89"/>
        <v>0</v>
      </c>
      <c r="AA337" s="666">
        <f t="shared" si="89"/>
        <v>0</v>
      </c>
      <c r="AB337" s="667">
        <f t="shared" si="89"/>
        <v>0</v>
      </c>
      <c r="AC337" s="665">
        <f t="shared" si="89"/>
        <v>0</v>
      </c>
      <c r="AD337" s="668">
        <f t="shared" si="89"/>
        <v>0</v>
      </c>
      <c r="AE337" s="664">
        <f t="shared" si="89"/>
        <v>0</v>
      </c>
      <c r="AF337" s="665">
        <f t="shared" si="89"/>
        <v>0</v>
      </c>
      <c r="AG337" s="666">
        <f t="shared" si="89"/>
        <v>0</v>
      </c>
      <c r="AH337" s="667">
        <f t="shared" si="89"/>
        <v>8416671</v>
      </c>
      <c r="AI337" s="665">
        <f t="shared" si="89"/>
        <v>1537188</v>
      </c>
      <c r="AJ337" s="668">
        <f t="shared" si="89"/>
        <v>0</v>
      </c>
      <c r="AK337" s="664">
        <f t="shared" si="89"/>
        <v>0</v>
      </c>
      <c r="AL337" s="665">
        <f t="shared" si="89"/>
        <v>0</v>
      </c>
      <c r="AM337" s="666">
        <f t="shared" ref="AM337:BW337" si="90">SUM(AM314:AM336)</f>
        <v>0</v>
      </c>
      <c r="AN337" s="667">
        <f t="shared" si="90"/>
        <v>526300</v>
      </c>
      <c r="AO337" s="665">
        <f t="shared" si="90"/>
        <v>0</v>
      </c>
      <c r="AP337" s="668">
        <f t="shared" si="90"/>
        <v>0</v>
      </c>
      <c r="AQ337" s="664">
        <f t="shared" si="90"/>
        <v>0</v>
      </c>
      <c r="AR337" s="665">
        <f t="shared" si="90"/>
        <v>0</v>
      </c>
      <c r="AS337" s="666">
        <f t="shared" si="90"/>
        <v>0</v>
      </c>
      <c r="AT337" s="667">
        <f t="shared" si="90"/>
        <v>0</v>
      </c>
      <c r="AU337" s="665">
        <f t="shared" si="90"/>
        <v>0</v>
      </c>
      <c r="AV337" s="668">
        <f t="shared" si="90"/>
        <v>0</v>
      </c>
      <c r="AW337" s="664">
        <f t="shared" si="90"/>
        <v>659273</v>
      </c>
      <c r="AX337" s="665">
        <f t="shared" si="90"/>
        <v>0</v>
      </c>
      <c r="AY337" s="666">
        <f t="shared" si="90"/>
        <v>0</v>
      </c>
      <c r="AZ337" s="667">
        <f t="shared" si="90"/>
        <v>0</v>
      </c>
      <c r="BA337" s="665">
        <f t="shared" si="90"/>
        <v>0</v>
      </c>
      <c r="BB337" s="668">
        <f t="shared" si="90"/>
        <v>0</v>
      </c>
      <c r="BC337" s="664">
        <f t="shared" si="90"/>
        <v>0</v>
      </c>
      <c r="BD337" s="665">
        <f t="shared" si="90"/>
        <v>0</v>
      </c>
      <c r="BE337" s="666">
        <f t="shared" si="90"/>
        <v>0</v>
      </c>
      <c r="BF337" s="667">
        <f t="shared" si="90"/>
        <v>0</v>
      </c>
      <c r="BG337" s="665">
        <f t="shared" si="90"/>
        <v>0</v>
      </c>
      <c r="BH337" s="668">
        <f t="shared" si="90"/>
        <v>0</v>
      </c>
      <c r="BI337" s="664">
        <f t="shared" si="90"/>
        <v>0</v>
      </c>
      <c r="BJ337" s="665">
        <f t="shared" si="90"/>
        <v>0</v>
      </c>
      <c r="BK337" s="666">
        <f t="shared" si="90"/>
        <v>0</v>
      </c>
      <c r="BL337" s="667">
        <f t="shared" si="90"/>
        <v>4097676</v>
      </c>
      <c r="BM337" s="665">
        <f t="shared" si="90"/>
        <v>0</v>
      </c>
      <c r="BN337" s="668">
        <f t="shared" si="90"/>
        <v>0</v>
      </c>
      <c r="BO337" s="664">
        <f t="shared" si="90"/>
        <v>0</v>
      </c>
      <c r="BP337" s="665">
        <f t="shared" si="90"/>
        <v>0</v>
      </c>
      <c r="BQ337" s="666">
        <f t="shared" si="90"/>
        <v>0</v>
      </c>
      <c r="BR337" s="667">
        <f t="shared" si="90"/>
        <v>43599724</v>
      </c>
      <c r="BS337" s="665">
        <f t="shared" si="90"/>
        <v>1537188</v>
      </c>
      <c r="BT337" s="668">
        <f t="shared" si="90"/>
        <v>0</v>
      </c>
      <c r="BU337" s="664">
        <f t="shared" si="90"/>
        <v>0</v>
      </c>
      <c r="BV337" s="665">
        <f t="shared" si="90"/>
        <v>0</v>
      </c>
      <c r="BW337" s="666">
        <f t="shared" si="90"/>
        <v>0</v>
      </c>
    </row>
    <row r="338" spans="1:75" s="598" customFormat="1" ht="25.5" customHeight="1" thickBot="1">
      <c r="A338" s="669" t="s">
        <v>49</v>
      </c>
      <c r="B338" s="670"/>
      <c r="C338" s="670"/>
      <c r="D338" s="671"/>
      <c r="E338" s="672" t="s">
        <v>688</v>
      </c>
      <c r="F338" s="673"/>
      <c r="G338" s="674">
        <f t="shared" ref="G338:BR338" si="91">G63+G108+G159+G174+G240+G273+G276+G298+G313+G337</f>
        <v>615579010</v>
      </c>
      <c r="H338" s="675">
        <f t="shared" si="91"/>
        <v>558518774</v>
      </c>
      <c r="I338" s="676">
        <f t="shared" si="91"/>
        <v>541713704</v>
      </c>
      <c r="J338" s="677">
        <f t="shared" si="91"/>
        <v>67937196</v>
      </c>
      <c r="K338" s="675">
        <f t="shared" si="91"/>
        <v>33119055</v>
      </c>
      <c r="L338" s="678">
        <f t="shared" si="91"/>
        <v>31227246</v>
      </c>
      <c r="M338" s="674">
        <f t="shared" si="91"/>
        <v>16160238</v>
      </c>
      <c r="N338" s="675">
        <f t="shared" si="91"/>
        <v>16029815</v>
      </c>
      <c r="O338" s="676">
        <f t="shared" si="91"/>
        <v>15459481</v>
      </c>
      <c r="P338" s="677">
        <f t="shared" si="91"/>
        <v>6757554</v>
      </c>
      <c r="Q338" s="675">
        <f t="shared" si="91"/>
        <v>6804300</v>
      </c>
      <c r="R338" s="678">
        <f t="shared" si="91"/>
        <v>6804507</v>
      </c>
      <c r="S338" s="674">
        <f t="shared" si="91"/>
        <v>8383396</v>
      </c>
      <c r="T338" s="675">
        <f t="shared" si="91"/>
        <v>8131194</v>
      </c>
      <c r="U338" s="676">
        <f t="shared" si="91"/>
        <v>7899777</v>
      </c>
      <c r="V338" s="677">
        <f t="shared" si="91"/>
        <v>13521979</v>
      </c>
      <c r="W338" s="675">
        <f t="shared" si="91"/>
        <v>13848987</v>
      </c>
      <c r="X338" s="678">
        <f t="shared" si="91"/>
        <v>13458909</v>
      </c>
      <c r="Y338" s="674">
        <f t="shared" si="91"/>
        <v>112760363</v>
      </c>
      <c r="Z338" s="675">
        <f t="shared" si="91"/>
        <v>77933351</v>
      </c>
      <c r="AA338" s="676">
        <f t="shared" si="91"/>
        <v>74849920</v>
      </c>
      <c r="AB338" s="677">
        <f t="shared" si="91"/>
        <v>34542445</v>
      </c>
      <c r="AC338" s="675">
        <f t="shared" si="91"/>
        <v>34937973</v>
      </c>
      <c r="AD338" s="678">
        <f t="shared" si="91"/>
        <v>34779760</v>
      </c>
      <c r="AE338" s="674">
        <f t="shared" si="91"/>
        <v>50688368</v>
      </c>
      <c r="AF338" s="675">
        <f t="shared" si="91"/>
        <v>51137210</v>
      </c>
      <c r="AG338" s="676">
        <f t="shared" si="91"/>
        <v>39364578</v>
      </c>
      <c r="AH338" s="677">
        <f t="shared" si="91"/>
        <v>73294633</v>
      </c>
      <c r="AI338" s="675">
        <f t="shared" si="91"/>
        <v>60052133</v>
      </c>
      <c r="AJ338" s="678">
        <f t="shared" si="91"/>
        <v>57691033</v>
      </c>
      <c r="AK338" s="674">
        <f t="shared" si="91"/>
        <v>31713728</v>
      </c>
      <c r="AL338" s="675">
        <f t="shared" si="91"/>
        <v>34004363</v>
      </c>
      <c r="AM338" s="676">
        <f t="shared" si="91"/>
        <v>34079961</v>
      </c>
      <c r="AN338" s="677">
        <f t="shared" si="91"/>
        <v>42636030</v>
      </c>
      <c r="AO338" s="675">
        <f t="shared" si="91"/>
        <v>38959422</v>
      </c>
      <c r="AP338" s="678">
        <f t="shared" si="91"/>
        <v>38738239</v>
      </c>
      <c r="AQ338" s="674">
        <f t="shared" si="91"/>
        <v>51947457</v>
      </c>
      <c r="AR338" s="675">
        <f t="shared" si="91"/>
        <v>52119985</v>
      </c>
      <c r="AS338" s="676">
        <f t="shared" si="91"/>
        <v>52161268</v>
      </c>
      <c r="AT338" s="677">
        <f t="shared" si="91"/>
        <v>23509638</v>
      </c>
      <c r="AU338" s="675">
        <f t="shared" si="91"/>
        <v>23975475</v>
      </c>
      <c r="AV338" s="678">
        <f t="shared" si="91"/>
        <v>23966587</v>
      </c>
      <c r="AW338" s="674">
        <f t="shared" si="91"/>
        <v>28027293</v>
      </c>
      <c r="AX338" s="675">
        <f t="shared" si="91"/>
        <v>26761100</v>
      </c>
      <c r="AY338" s="676">
        <f t="shared" si="91"/>
        <v>26500606</v>
      </c>
      <c r="AZ338" s="677">
        <f t="shared" si="91"/>
        <v>8611351</v>
      </c>
      <c r="BA338" s="675">
        <f t="shared" si="91"/>
        <v>8701359</v>
      </c>
      <c r="BB338" s="678">
        <f t="shared" si="91"/>
        <v>8705435</v>
      </c>
      <c r="BC338" s="674">
        <f t="shared" si="91"/>
        <v>5689531</v>
      </c>
      <c r="BD338" s="675">
        <f t="shared" si="91"/>
        <v>5822875</v>
      </c>
      <c r="BE338" s="676">
        <f t="shared" si="91"/>
        <v>5827380</v>
      </c>
      <c r="BF338" s="677">
        <f t="shared" si="91"/>
        <v>33088680</v>
      </c>
      <c r="BG338" s="675">
        <f t="shared" si="91"/>
        <v>33207099</v>
      </c>
      <c r="BH338" s="678">
        <f t="shared" si="91"/>
        <v>34252475</v>
      </c>
      <c r="BI338" s="674">
        <f t="shared" si="91"/>
        <v>32169503</v>
      </c>
      <c r="BJ338" s="675">
        <f t="shared" si="91"/>
        <v>35482629</v>
      </c>
      <c r="BK338" s="676">
        <f t="shared" si="91"/>
        <v>35297241</v>
      </c>
      <c r="BL338" s="677">
        <f t="shared" si="91"/>
        <v>38948777</v>
      </c>
      <c r="BM338" s="675">
        <f t="shared" si="91"/>
        <v>26777754</v>
      </c>
      <c r="BN338" s="678">
        <f t="shared" si="91"/>
        <v>26814669</v>
      </c>
      <c r="BO338" s="674">
        <f t="shared" si="91"/>
        <v>8221213</v>
      </c>
      <c r="BP338" s="675">
        <f t="shared" si="91"/>
        <v>8916046</v>
      </c>
      <c r="BQ338" s="676">
        <f t="shared" si="91"/>
        <v>8954552</v>
      </c>
      <c r="BR338" s="677">
        <f t="shared" si="91"/>
        <v>575849010</v>
      </c>
      <c r="BS338" s="675">
        <f t="shared" ref="BS338:BW338" si="92">BS63+BS108+BS159+BS174+BS240+BS273+BS276+BS298+BS313+BS337</f>
        <v>518788774</v>
      </c>
      <c r="BT338" s="678">
        <f t="shared" si="92"/>
        <v>501983704</v>
      </c>
      <c r="BU338" s="674">
        <f t="shared" si="92"/>
        <v>39730000</v>
      </c>
      <c r="BV338" s="675">
        <f t="shared" si="92"/>
        <v>39730000</v>
      </c>
      <c r="BW338" s="676">
        <f t="shared" si="92"/>
        <v>39730000</v>
      </c>
    </row>
    <row r="339" spans="1:75" s="598" customFormat="1" ht="12.75" thickBot="1">
      <c r="A339" s="679">
        <v>0</v>
      </c>
      <c r="B339" s="680"/>
      <c r="C339" s="680"/>
      <c r="D339" s="681"/>
      <c r="E339" s="681"/>
      <c r="F339" s="682"/>
      <c r="G339" s="683"/>
      <c r="H339" s="452"/>
      <c r="I339" s="684"/>
      <c r="J339" s="452"/>
      <c r="K339" s="452"/>
      <c r="L339" s="452"/>
      <c r="M339" s="683"/>
      <c r="N339" s="452"/>
      <c r="O339" s="684"/>
      <c r="P339" s="452"/>
      <c r="Q339" s="452"/>
      <c r="R339" s="452"/>
      <c r="S339" s="683"/>
      <c r="T339" s="452"/>
      <c r="U339" s="684"/>
      <c r="V339" s="452"/>
      <c r="W339" s="452"/>
      <c r="X339" s="452"/>
      <c r="Y339" s="452"/>
      <c r="Z339" s="452"/>
      <c r="AA339" s="452"/>
      <c r="AB339" s="452"/>
      <c r="AC339" s="452"/>
      <c r="AD339" s="452"/>
      <c r="AE339" s="452"/>
      <c r="AF339" s="452"/>
      <c r="AG339" s="452"/>
      <c r="AH339" s="452"/>
      <c r="AI339" s="452"/>
      <c r="AJ339" s="452"/>
      <c r="AK339" s="683"/>
      <c r="AL339" s="452"/>
      <c r="AM339" s="684"/>
      <c r="AN339" s="452"/>
      <c r="AO339" s="452"/>
      <c r="AP339" s="452"/>
      <c r="AQ339" s="452"/>
      <c r="AR339" s="452"/>
      <c r="AS339" s="452"/>
      <c r="AT339" s="452"/>
      <c r="AU339" s="452"/>
      <c r="AV339" s="452"/>
      <c r="AW339" s="452"/>
      <c r="AX339" s="452"/>
      <c r="AY339" s="452"/>
      <c r="AZ339" s="452"/>
      <c r="BA339" s="452"/>
      <c r="BB339" s="452"/>
      <c r="BC339" s="452"/>
      <c r="BD339" s="452"/>
      <c r="BE339" s="452"/>
      <c r="BF339" s="452"/>
      <c r="BG339" s="452"/>
      <c r="BH339" s="452"/>
      <c r="BI339" s="452"/>
      <c r="BJ339" s="452"/>
      <c r="BK339" s="452"/>
      <c r="BL339" s="452"/>
      <c r="BM339" s="452"/>
      <c r="BN339" s="452"/>
      <c r="BO339" s="452"/>
      <c r="BP339" s="452"/>
      <c r="BQ339" s="452"/>
      <c r="BR339" s="683"/>
      <c r="BS339" s="452"/>
      <c r="BT339" s="452"/>
      <c r="BU339" s="683"/>
      <c r="BV339" s="452"/>
      <c r="BW339" s="684"/>
    </row>
    <row r="340" spans="1:75" s="598" customFormat="1" ht="15" customHeight="1" thickBot="1">
      <c r="A340" s="998" t="s">
        <v>16</v>
      </c>
      <c r="B340" s="1000" t="s">
        <v>704</v>
      </c>
      <c r="C340" s="1002" t="s">
        <v>202</v>
      </c>
      <c r="D340" s="1000" t="s">
        <v>100</v>
      </c>
      <c r="E340" s="1004" t="s">
        <v>705</v>
      </c>
      <c r="F340" s="1006" t="s">
        <v>706</v>
      </c>
      <c r="G340" s="1008" t="s">
        <v>780</v>
      </c>
      <c r="H340" s="1009"/>
      <c r="I340" s="1010"/>
      <c r="J340" s="1011" t="s">
        <v>160</v>
      </c>
      <c r="K340" s="1012"/>
      <c r="L340" s="1013"/>
      <c r="M340" s="1014" t="s">
        <v>191</v>
      </c>
      <c r="N340" s="1012"/>
      <c r="O340" s="1015"/>
      <c r="P340" s="1011" t="s">
        <v>192</v>
      </c>
      <c r="Q340" s="1012"/>
      <c r="R340" s="1013"/>
      <c r="S340" s="1014" t="s">
        <v>194</v>
      </c>
      <c r="T340" s="1012"/>
      <c r="U340" s="1015"/>
      <c r="V340" s="1011" t="s">
        <v>196</v>
      </c>
      <c r="W340" s="1012"/>
      <c r="X340" s="1015"/>
      <c r="Y340" s="1016" t="s">
        <v>767</v>
      </c>
      <c r="Z340" s="1017"/>
      <c r="AA340" s="1018"/>
      <c r="AB340" s="988" t="s">
        <v>768</v>
      </c>
      <c r="AC340" s="986"/>
      <c r="AD340" s="989"/>
      <c r="AE340" s="985" t="s">
        <v>769</v>
      </c>
      <c r="AF340" s="986"/>
      <c r="AG340" s="987"/>
      <c r="AH340" s="988" t="s">
        <v>770</v>
      </c>
      <c r="AI340" s="986"/>
      <c r="AJ340" s="989"/>
      <c r="AK340" s="985" t="s">
        <v>771</v>
      </c>
      <c r="AL340" s="986"/>
      <c r="AM340" s="987"/>
      <c r="AN340" s="988" t="s">
        <v>772</v>
      </c>
      <c r="AO340" s="986"/>
      <c r="AP340" s="989"/>
      <c r="AQ340" s="985" t="s">
        <v>773</v>
      </c>
      <c r="AR340" s="986"/>
      <c r="AS340" s="987"/>
      <c r="AT340" s="988" t="s">
        <v>774</v>
      </c>
      <c r="AU340" s="986"/>
      <c r="AV340" s="989"/>
      <c r="AW340" s="985" t="s">
        <v>775</v>
      </c>
      <c r="AX340" s="986"/>
      <c r="AY340" s="987"/>
      <c r="AZ340" s="988" t="s">
        <v>776</v>
      </c>
      <c r="BA340" s="986"/>
      <c r="BB340" s="989"/>
      <c r="BC340" s="985" t="s">
        <v>779</v>
      </c>
      <c r="BD340" s="986"/>
      <c r="BE340" s="987"/>
      <c r="BF340" s="988" t="s">
        <v>777</v>
      </c>
      <c r="BG340" s="986"/>
      <c r="BH340" s="989"/>
      <c r="BI340" s="985" t="s">
        <v>801</v>
      </c>
      <c r="BJ340" s="986"/>
      <c r="BK340" s="987"/>
      <c r="BL340" s="988" t="s">
        <v>778</v>
      </c>
      <c r="BM340" s="986"/>
      <c r="BN340" s="989"/>
      <c r="BO340" s="985" t="s">
        <v>159</v>
      </c>
      <c r="BP340" s="986"/>
      <c r="BQ340" s="989"/>
      <c r="BR340" s="990" t="s">
        <v>802</v>
      </c>
      <c r="BS340" s="991"/>
      <c r="BT340" s="992"/>
      <c r="BU340" s="985" t="s">
        <v>803</v>
      </c>
      <c r="BV340" s="986"/>
      <c r="BW340" s="987"/>
    </row>
    <row r="341" spans="1:75" ht="38.25" customHeight="1" thickBot="1">
      <c r="A341" s="999"/>
      <c r="B341" s="1001"/>
      <c r="C341" s="1003"/>
      <c r="D341" s="1001"/>
      <c r="E341" s="1005"/>
      <c r="F341" s="1007"/>
      <c r="G341" s="685" t="s">
        <v>804</v>
      </c>
      <c r="H341" s="686" t="s">
        <v>805</v>
      </c>
      <c r="I341" s="687" t="s">
        <v>806</v>
      </c>
      <c r="J341" s="688" t="s">
        <v>804</v>
      </c>
      <c r="K341" s="686" t="s">
        <v>805</v>
      </c>
      <c r="L341" s="689" t="s">
        <v>806</v>
      </c>
      <c r="M341" s="685" t="s">
        <v>804</v>
      </c>
      <c r="N341" s="686" t="s">
        <v>805</v>
      </c>
      <c r="O341" s="687" t="s">
        <v>806</v>
      </c>
      <c r="P341" s="688" t="s">
        <v>804</v>
      </c>
      <c r="Q341" s="686" t="s">
        <v>805</v>
      </c>
      <c r="R341" s="689" t="s">
        <v>806</v>
      </c>
      <c r="S341" s="685" t="s">
        <v>804</v>
      </c>
      <c r="T341" s="686" t="s">
        <v>805</v>
      </c>
      <c r="U341" s="687" t="s">
        <v>806</v>
      </c>
      <c r="V341" s="688" t="s">
        <v>804</v>
      </c>
      <c r="W341" s="686" t="s">
        <v>805</v>
      </c>
      <c r="X341" s="687" t="s">
        <v>806</v>
      </c>
      <c r="Y341" s="690" t="s">
        <v>804</v>
      </c>
      <c r="Z341" s="691" t="s">
        <v>805</v>
      </c>
      <c r="AA341" s="692" t="s">
        <v>806</v>
      </c>
      <c r="AB341" s="688" t="s">
        <v>804</v>
      </c>
      <c r="AC341" s="686" t="s">
        <v>805</v>
      </c>
      <c r="AD341" s="689" t="s">
        <v>806</v>
      </c>
      <c r="AE341" s="685" t="s">
        <v>804</v>
      </c>
      <c r="AF341" s="686" t="s">
        <v>805</v>
      </c>
      <c r="AG341" s="687" t="s">
        <v>806</v>
      </c>
      <c r="AH341" s="688" t="s">
        <v>804</v>
      </c>
      <c r="AI341" s="686" t="s">
        <v>805</v>
      </c>
      <c r="AJ341" s="689" t="s">
        <v>806</v>
      </c>
      <c r="AK341" s="685" t="s">
        <v>804</v>
      </c>
      <c r="AL341" s="686" t="s">
        <v>805</v>
      </c>
      <c r="AM341" s="687" t="s">
        <v>806</v>
      </c>
      <c r="AN341" s="688" t="s">
        <v>804</v>
      </c>
      <c r="AO341" s="686" t="s">
        <v>805</v>
      </c>
      <c r="AP341" s="689" t="s">
        <v>806</v>
      </c>
      <c r="AQ341" s="685" t="s">
        <v>804</v>
      </c>
      <c r="AR341" s="686" t="s">
        <v>805</v>
      </c>
      <c r="AS341" s="687" t="s">
        <v>806</v>
      </c>
      <c r="AT341" s="688" t="s">
        <v>804</v>
      </c>
      <c r="AU341" s="686" t="s">
        <v>805</v>
      </c>
      <c r="AV341" s="689" t="s">
        <v>806</v>
      </c>
      <c r="AW341" s="685" t="s">
        <v>804</v>
      </c>
      <c r="AX341" s="686" t="s">
        <v>805</v>
      </c>
      <c r="AY341" s="687" t="s">
        <v>806</v>
      </c>
      <c r="AZ341" s="688" t="s">
        <v>804</v>
      </c>
      <c r="BA341" s="686" t="s">
        <v>805</v>
      </c>
      <c r="BB341" s="689" t="s">
        <v>806</v>
      </c>
      <c r="BC341" s="685" t="s">
        <v>804</v>
      </c>
      <c r="BD341" s="686" t="s">
        <v>805</v>
      </c>
      <c r="BE341" s="687" t="s">
        <v>806</v>
      </c>
      <c r="BF341" s="688" t="s">
        <v>804</v>
      </c>
      <c r="BG341" s="686" t="s">
        <v>805</v>
      </c>
      <c r="BH341" s="689" t="s">
        <v>806</v>
      </c>
      <c r="BI341" s="685" t="s">
        <v>804</v>
      </c>
      <c r="BJ341" s="686" t="s">
        <v>805</v>
      </c>
      <c r="BK341" s="687" t="s">
        <v>806</v>
      </c>
      <c r="BL341" s="688" t="s">
        <v>804</v>
      </c>
      <c r="BM341" s="686" t="s">
        <v>805</v>
      </c>
      <c r="BN341" s="689" t="s">
        <v>806</v>
      </c>
      <c r="BO341" s="685" t="s">
        <v>804</v>
      </c>
      <c r="BP341" s="686" t="s">
        <v>805</v>
      </c>
      <c r="BQ341" s="689" t="s">
        <v>806</v>
      </c>
      <c r="BR341" s="685" t="s">
        <v>804</v>
      </c>
      <c r="BS341" s="686" t="s">
        <v>805</v>
      </c>
      <c r="BT341" s="689" t="s">
        <v>806</v>
      </c>
      <c r="BU341" s="685" t="s">
        <v>804</v>
      </c>
      <c r="BV341" s="686" t="s">
        <v>805</v>
      </c>
      <c r="BW341" s="687" t="s">
        <v>806</v>
      </c>
    </row>
    <row r="342" spans="1:75" s="711" customFormat="1" ht="60">
      <c r="A342" s="693" t="s">
        <v>16</v>
      </c>
      <c r="B342" s="694">
        <v>11</v>
      </c>
      <c r="C342" s="695" t="s">
        <v>19</v>
      </c>
      <c r="D342" s="694" t="s">
        <v>691</v>
      </c>
      <c r="E342" s="696" t="s">
        <v>20</v>
      </c>
      <c r="F342" s="697"/>
      <c r="G342" s="698">
        <f t="shared" ref="G342:I349" si="93">BR342+BU342</f>
        <v>386180008</v>
      </c>
      <c r="H342" s="699">
        <f t="shared" si="93"/>
        <v>389435828</v>
      </c>
      <c r="I342" s="700">
        <f t="shared" si="93"/>
        <v>389435828</v>
      </c>
      <c r="J342" s="701">
        <f t="shared" ref="J342:X342" si="94">J63</f>
        <v>22653062</v>
      </c>
      <c r="K342" s="702">
        <f t="shared" si="94"/>
        <v>23430338</v>
      </c>
      <c r="L342" s="703">
        <f t="shared" si="94"/>
        <v>23434906</v>
      </c>
      <c r="M342" s="704">
        <f t="shared" si="94"/>
        <v>13464561</v>
      </c>
      <c r="N342" s="702">
        <f t="shared" si="94"/>
        <v>13533065</v>
      </c>
      <c r="O342" s="705">
        <f t="shared" si="94"/>
        <v>13533731</v>
      </c>
      <c r="P342" s="706">
        <f t="shared" si="94"/>
        <v>6532454</v>
      </c>
      <c r="Q342" s="707">
        <f t="shared" si="94"/>
        <v>6554200</v>
      </c>
      <c r="R342" s="708">
        <f t="shared" si="94"/>
        <v>6554407</v>
      </c>
      <c r="S342" s="704">
        <f t="shared" si="94"/>
        <v>7484974</v>
      </c>
      <c r="T342" s="702">
        <f t="shared" si="94"/>
        <v>7535552</v>
      </c>
      <c r="U342" s="705">
        <f t="shared" si="94"/>
        <v>7536038</v>
      </c>
      <c r="V342" s="706">
        <f t="shared" si="94"/>
        <v>11859765</v>
      </c>
      <c r="W342" s="707">
        <f t="shared" si="94"/>
        <v>11957347</v>
      </c>
      <c r="X342" s="709">
        <f t="shared" si="94"/>
        <v>11958284</v>
      </c>
      <c r="Y342" s="710">
        <f t="shared" ref="Y342:AA349" si="95">J342+M342+P342+S342+V342</f>
        <v>61994816</v>
      </c>
      <c r="Z342" s="707">
        <f t="shared" si="95"/>
        <v>63010502</v>
      </c>
      <c r="AA342" s="709">
        <f t="shared" si="95"/>
        <v>63017366</v>
      </c>
      <c r="AB342" s="701">
        <f t="shared" ref="AB342:BQ342" si="96">AB63</f>
        <v>32493829</v>
      </c>
      <c r="AC342" s="702">
        <f t="shared" si="96"/>
        <v>32646373</v>
      </c>
      <c r="AD342" s="703">
        <f t="shared" si="96"/>
        <v>32650460</v>
      </c>
      <c r="AE342" s="710">
        <f t="shared" si="96"/>
        <v>23963923</v>
      </c>
      <c r="AF342" s="707">
        <f t="shared" si="96"/>
        <v>24179875</v>
      </c>
      <c r="AG342" s="709">
        <f t="shared" si="96"/>
        <v>24179778</v>
      </c>
      <c r="AH342" s="701">
        <f t="shared" si="96"/>
        <v>50961525</v>
      </c>
      <c r="AI342" s="702">
        <f t="shared" si="96"/>
        <v>51228378</v>
      </c>
      <c r="AJ342" s="703">
        <f t="shared" si="96"/>
        <v>51228124</v>
      </c>
      <c r="AK342" s="710">
        <f t="shared" si="96"/>
        <v>17295007</v>
      </c>
      <c r="AL342" s="707">
        <f t="shared" si="96"/>
        <v>17422802</v>
      </c>
      <c r="AM342" s="709">
        <f t="shared" si="96"/>
        <v>17422681</v>
      </c>
      <c r="AN342" s="701">
        <f t="shared" si="96"/>
        <v>31515909</v>
      </c>
      <c r="AO342" s="702">
        <f t="shared" si="96"/>
        <v>31846329</v>
      </c>
      <c r="AP342" s="703">
        <f t="shared" si="96"/>
        <v>31846239</v>
      </c>
      <c r="AQ342" s="710">
        <f t="shared" si="96"/>
        <v>44408714</v>
      </c>
      <c r="AR342" s="707">
        <f t="shared" si="96"/>
        <v>44654010</v>
      </c>
      <c r="AS342" s="709">
        <f t="shared" si="96"/>
        <v>44653843</v>
      </c>
      <c r="AT342" s="701">
        <f t="shared" si="96"/>
        <v>19773236</v>
      </c>
      <c r="AU342" s="702">
        <f t="shared" si="96"/>
        <v>19932706</v>
      </c>
      <c r="AV342" s="703">
        <f t="shared" si="96"/>
        <v>19932219</v>
      </c>
      <c r="AW342" s="710">
        <f t="shared" si="96"/>
        <v>20868275</v>
      </c>
      <c r="AX342" s="707">
        <f t="shared" si="96"/>
        <v>21057959</v>
      </c>
      <c r="AY342" s="709">
        <f t="shared" si="96"/>
        <v>21057863</v>
      </c>
      <c r="AZ342" s="701">
        <f t="shared" si="96"/>
        <v>8034426</v>
      </c>
      <c r="BA342" s="702">
        <f t="shared" si="96"/>
        <v>8057104</v>
      </c>
      <c r="BB342" s="703">
        <f t="shared" si="96"/>
        <v>8057080</v>
      </c>
      <c r="BC342" s="710">
        <f t="shared" si="96"/>
        <v>5201987</v>
      </c>
      <c r="BD342" s="707">
        <f t="shared" si="96"/>
        <v>5256120</v>
      </c>
      <c r="BE342" s="709">
        <f t="shared" si="96"/>
        <v>5256092</v>
      </c>
      <c r="BF342" s="701">
        <f t="shared" si="96"/>
        <v>23268535</v>
      </c>
      <c r="BG342" s="702">
        <f t="shared" si="96"/>
        <v>23466099</v>
      </c>
      <c r="BH342" s="703">
        <f t="shared" si="96"/>
        <v>23465975</v>
      </c>
      <c r="BI342" s="710">
        <f t="shared" si="96"/>
        <v>19705590</v>
      </c>
      <c r="BJ342" s="707">
        <f t="shared" si="96"/>
        <v>19803159</v>
      </c>
      <c r="BK342" s="709">
        <f t="shared" si="96"/>
        <v>19803100</v>
      </c>
      <c r="BL342" s="701">
        <f t="shared" si="96"/>
        <v>21537831</v>
      </c>
      <c r="BM342" s="702">
        <f t="shared" si="96"/>
        <v>21685529</v>
      </c>
      <c r="BN342" s="703">
        <f t="shared" si="96"/>
        <v>21676169</v>
      </c>
      <c r="BO342" s="710">
        <f t="shared" si="96"/>
        <v>5156405</v>
      </c>
      <c r="BP342" s="707">
        <f t="shared" si="96"/>
        <v>5188883</v>
      </c>
      <c r="BQ342" s="708">
        <f t="shared" si="96"/>
        <v>5188839</v>
      </c>
      <c r="BR342" s="704">
        <f t="shared" ref="BR342:BT349" si="97">AB342+AE342+AH342+AK342+AN342+AQ342+AT342+AW342+AZ342+BC342+BF342+BI342+BL342+BO342+Y342</f>
        <v>386180008</v>
      </c>
      <c r="BS342" s="702">
        <f t="shared" si="97"/>
        <v>389435828</v>
      </c>
      <c r="BT342" s="703">
        <f t="shared" si="97"/>
        <v>389435828</v>
      </c>
      <c r="BU342" s="710"/>
      <c r="BV342" s="707"/>
      <c r="BW342" s="709"/>
    </row>
    <row r="343" spans="1:75" s="711" customFormat="1" ht="60">
      <c r="A343" s="712" t="s">
        <v>16</v>
      </c>
      <c r="B343" s="713">
        <v>12</v>
      </c>
      <c r="C343" s="714" t="s">
        <v>21</v>
      </c>
      <c r="D343" s="713" t="s">
        <v>698</v>
      </c>
      <c r="E343" s="715" t="s">
        <v>20</v>
      </c>
      <c r="F343" s="716"/>
      <c r="G343" s="717">
        <f t="shared" si="93"/>
        <v>2058038</v>
      </c>
      <c r="H343" s="718">
        <f t="shared" si="93"/>
        <v>6862</v>
      </c>
      <c r="I343" s="719">
        <f t="shared" si="93"/>
        <v>0</v>
      </c>
      <c r="J343" s="720">
        <f t="shared" ref="J343:X343" si="98">J298</f>
        <v>1779153</v>
      </c>
      <c r="K343" s="721">
        <f t="shared" si="98"/>
        <v>0</v>
      </c>
      <c r="L343" s="722">
        <f t="shared" si="98"/>
        <v>0</v>
      </c>
      <c r="M343" s="723">
        <f t="shared" si="98"/>
        <v>0</v>
      </c>
      <c r="N343" s="721">
        <f t="shared" si="98"/>
        <v>0</v>
      </c>
      <c r="O343" s="724">
        <f t="shared" si="98"/>
        <v>0</v>
      </c>
      <c r="P343" s="725">
        <f t="shared" si="98"/>
        <v>0</v>
      </c>
      <c r="Q343" s="721">
        <f t="shared" si="98"/>
        <v>0</v>
      </c>
      <c r="R343" s="722">
        <f t="shared" si="98"/>
        <v>0</v>
      </c>
      <c r="S343" s="723">
        <f t="shared" si="98"/>
        <v>0</v>
      </c>
      <c r="T343" s="721">
        <f t="shared" si="98"/>
        <v>0</v>
      </c>
      <c r="U343" s="724">
        <f t="shared" si="98"/>
        <v>0</v>
      </c>
      <c r="V343" s="725">
        <f t="shared" si="98"/>
        <v>0</v>
      </c>
      <c r="W343" s="721">
        <f t="shared" si="98"/>
        <v>0</v>
      </c>
      <c r="X343" s="724">
        <f t="shared" si="98"/>
        <v>0</v>
      </c>
      <c r="Y343" s="723">
        <f t="shared" si="95"/>
        <v>1779153</v>
      </c>
      <c r="Z343" s="721">
        <f t="shared" si="95"/>
        <v>0</v>
      </c>
      <c r="AA343" s="724">
        <f t="shared" si="95"/>
        <v>0</v>
      </c>
      <c r="AB343" s="725">
        <f t="shared" ref="AB343:BQ343" si="99">AB298</f>
        <v>0</v>
      </c>
      <c r="AC343" s="721">
        <f t="shared" si="99"/>
        <v>0</v>
      </c>
      <c r="AD343" s="722">
        <f t="shared" si="99"/>
        <v>0</v>
      </c>
      <c r="AE343" s="723">
        <f t="shared" si="99"/>
        <v>0</v>
      </c>
      <c r="AF343" s="721">
        <f t="shared" si="99"/>
        <v>0</v>
      </c>
      <c r="AG343" s="724">
        <f t="shared" si="99"/>
        <v>0</v>
      </c>
      <c r="AH343" s="725">
        <f t="shared" si="99"/>
        <v>0</v>
      </c>
      <c r="AI343" s="721">
        <f t="shared" si="99"/>
        <v>0</v>
      </c>
      <c r="AJ343" s="722">
        <f t="shared" si="99"/>
        <v>0</v>
      </c>
      <c r="AK343" s="723">
        <f t="shared" si="99"/>
        <v>0</v>
      </c>
      <c r="AL343" s="721">
        <f t="shared" si="99"/>
        <v>0</v>
      </c>
      <c r="AM343" s="724">
        <f t="shared" si="99"/>
        <v>0</v>
      </c>
      <c r="AN343" s="725">
        <f t="shared" si="99"/>
        <v>100549</v>
      </c>
      <c r="AO343" s="721">
        <f t="shared" si="99"/>
        <v>0</v>
      </c>
      <c r="AP343" s="722">
        <f t="shared" si="99"/>
        <v>0</v>
      </c>
      <c r="AQ343" s="723">
        <f t="shared" si="99"/>
        <v>0</v>
      </c>
      <c r="AR343" s="721">
        <f t="shared" si="99"/>
        <v>0</v>
      </c>
      <c r="AS343" s="724">
        <f t="shared" si="99"/>
        <v>0</v>
      </c>
      <c r="AT343" s="725">
        <f t="shared" si="99"/>
        <v>0</v>
      </c>
      <c r="AU343" s="721">
        <f t="shared" si="99"/>
        <v>0</v>
      </c>
      <c r="AV343" s="722">
        <f t="shared" si="99"/>
        <v>0</v>
      </c>
      <c r="AW343" s="726">
        <f t="shared" si="99"/>
        <v>178336</v>
      </c>
      <c r="AX343" s="721">
        <f t="shared" si="99"/>
        <v>6862</v>
      </c>
      <c r="AY343" s="724">
        <f t="shared" si="99"/>
        <v>0</v>
      </c>
      <c r="AZ343" s="725">
        <f t="shared" si="99"/>
        <v>0</v>
      </c>
      <c r="BA343" s="721">
        <f t="shared" si="99"/>
        <v>0</v>
      </c>
      <c r="BB343" s="722">
        <f t="shared" si="99"/>
        <v>0</v>
      </c>
      <c r="BC343" s="723">
        <f t="shared" si="99"/>
        <v>0</v>
      </c>
      <c r="BD343" s="721">
        <f t="shared" si="99"/>
        <v>0</v>
      </c>
      <c r="BE343" s="724">
        <f t="shared" si="99"/>
        <v>0</v>
      </c>
      <c r="BF343" s="725">
        <f t="shared" si="99"/>
        <v>0</v>
      </c>
      <c r="BG343" s="721">
        <f t="shared" si="99"/>
        <v>0</v>
      </c>
      <c r="BH343" s="722">
        <f t="shared" si="99"/>
        <v>0</v>
      </c>
      <c r="BI343" s="723">
        <f t="shared" si="99"/>
        <v>0</v>
      </c>
      <c r="BJ343" s="721">
        <f t="shared" si="99"/>
        <v>0</v>
      </c>
      <c r="BK343" s="724">
        <f t="shared" si="99"/>
        <v>0</v>
      </c>
      <c r="BL343" s="725">
        <f t="shared" si="99"/>
        <v>0</v>
      </c>
      <c r="BM343" s="721">
        <f t="shared" si="99"/>
        <v>0</v>
      </c>
      <c r="BN343" s="722">
        <f t="shared" si="99"/>
        <v>0</v>
      </c>
      <c r="BO343" s="723">
        <f t="shared" si="99"/>
        <v>0</v>
      </c>
      <c r="BP343" s="721">
        <f t="shared" si="99"/>
        <v>0</v>
      </c>
      <c r="BQ343" s="722">
        <f t="shared" si="99"/>
        <v>0</v>
      </c>
      <c r="BR343" s="723">
        <f t="shared" si="97"/>
        <v>2058038</v>
      </c>
      <c r="BS343" s="721">
        <f t="shared" si="97"/>
        <v>6862</v>
      </c>
      <c r="BT343" s="722">
        <f t="shared" si="97"/>
        <v>0</v>
      </c>
      <c r="BU343" s="723"/>
      <c r="BV343" s="721"/>
      <c r="BW343" s="724"/>
    </row>
    <row r="344" spans="1:75" s="733" customFormat="1" ht="24">
      <c r="A344" s="519" t="s">
        <v>16</v>
      </c>
      <c r="B344" s="521">
        <v>31</v>
      </c>
      <c r="C344" s="520" t="s">
        <v>22</v>
      </c>
      <c r="D344" s="521">
        <v>641310031</v>
      </c>
      <c r="E344" s="522" t="s">
        <v>23</v>
      </c>
      <c r="F344" s="523"/>
      <c r="G344" s="727">
        <f t="shared" si="93"/>
        <v>87355</v>
      </c>
      <c r="H344" s="728">
        <f t="shared" si="93"/>
        <v>57362</v>
      </c>
      <c r="I344" s="729">
        <f t="shared" si="93"/>
        <v>42368</v>
      </c>
      <c r="J344" s="500">
        <v>3000</v>
      </c>
      <c r="K344" s="501">
        <v>3000</v>
      </c>
      <c r="L344" s="502">
        <v>3000</v>
      </c>
      <c r="M344" s="503">
        <v>170</v>
      </c>
      <c r="N344" s="501">
        <v>175</v>
      </c>
      <c r="O344" s="504">
        <v>180</v>
      </c>
      <c r="P344" s="500">
        <v>100</v>
      </c>
      <c r="Q344" s="501">
        <v>100</v>
      </c>
      <c r="R344" s="502">
        <v>100</v>
      </c>
      <c r="S344" s="503">
        <v>85</v>
      </c>
      <c r="T344" s="501">
        <v>87</v>
      </c>
      <c r="U344" s="504">
        <v>88</v>
      </c>
      <c r="V344" s="500"/>
      <c r="W344" s="501"/>
      <c r="X344" s="504"/>
      <c r="Y344" s="505">
        <f t="shared" si="95"/>
        <v>3355</v>
      </c>
      <c r="Z344" s="506">
        <f t="shared" si="95"/>
        <v>3362</v>
      </c>
      <c r="AA344" s="507">
        <f t="shared" si="95"/>
        <v>3368</v>
      </c>
      <c r="AB344" s="500"/>
      <c r="AC344" s="501"/>
      <c r="AD344" s="502"/>
      <c r="AE344" s="503">
        <v>80000</v>
      </c>
      <c r="AF344" s="501">
        <v>50000</v>
      </c>
      <c r="AG344" s="504">
        <v>35000</v>
      </c>
      <c r="AH344" s="500"/>
      <c r="AI344" s="501"/>
      <c r="AJ344" s="502"/>
      <c r="AK344" s="503"/>
      <c r="AL344" s="501"/>
      <c r="AM344" s="504"/>
      <c r="AN344" s="500"/>
      <c r="AO344" s="501"/>
      <c r="AP344" s="502"/>
      <c r="AQ344" s="503"/>
      <c r="AR344" s="501"/>
      <c r="AS344" s="504"/>
      <c r="AT344" s="500"/>
      <c r="AU344" s="501"/>
      <c r="AV344" s="502"/>
      <c r="AW344" s="503"/>
      <c r="AX344" s="501"/>
      <c r="AY344" s="504"/>
      <c r="AZ344" s="500"/>
      <c r="BA344" s="501"/>
      <c r="BB344" s="502"/>
      <c r="BC344" s="503"/>
      <c r="BD344" s="501"/>
      <c r="BE344" s="504"/>
      <c r="BF344" s="500">
        <v>4000</v>
      </c>
      <c r="BG344" s="501">
        <v>4000</v>
      </c>
      <c r="BH344" s="502">
        <v>4000</v>
      </c>
      <c r="BI344" s="503"/>
      <c r="BJ344" s="501"/>
      <c r="BK344" s="504"/>
      <c r="BL344" s="500"/>
      <c r="BM344" s="501"/>
      <c r="BN344" s="502"/>
      <c r="BO344" s="503"/>
      <c r="BP344" s="501"/>
      <c r="BQ344" s="502"/>
      <c r="BR344" s="730">
        <f t="shared" si="97"/>
        <v>87355</v>
      </c>
      <c r="BS344" s="731">
        <f t="shared" si="97"/>
        <v>57362</v>
      </c>
      <c r="BT344" s="732">
        <f t="shared" si="97"/>
        <v>42368</v>
      </c>
      <c r="BU344" s="503"/>
      <c r="BV344" s="501"/>
      <c r="BW344" s="504"/>
    </row>
    <row r="345" spans="1:75" s="733" customFormat="1" ht="24">
      <c r="A345" s="519" t="s">
        <v>16</v>
      </c>
      <c r="B345" s="521">
        <v>31</v>
      </c>
      <c r="C345" s="520" t="s">
        <v>22</v>
      </c>
      <c r="D345" s="521">
        <v>641320031</v>
      </c>
      <c r="E345" s="522" t="s">
        <v>24</v>
      </c>
      <c r="F345" s="523"/>
      <c r="G345" s="727">
        <f t="shared" si="93"/>
        <v>9455</v>
      </c>
      <c r="H345" s="728">
        <f t="shared" si="93"/>
        <v>9457</v>
      </c>
      <c r="I345" s="729">
        <f t="shared" si="93"/>
        <v>10009</v>
      </c>
      <c r="J345" s="500"/>
      <c r="K345" s="501"/>
      <c r="L345" s="502"/>
      <c r="M345" s="503"/>
      <c r="N345" s="501"/>
      <c r="O345" s="504"/>
      <c r="P345" s="500"/>
      <c r="Q345" s="501"/>
      <c r="R345" s="502"/>
      <c r="S345" s="503"/>
      <c r="T345" s="501"/>
      <c r="U345" s="504"/>
      <c r="V345" s="500"/>
      <c r="W345" s="501"/>
      <c r="X345" s="504"/>
      <c r="Y345" s="505">
        <f t="shared" si="95"/>
        <v>0</v>
      </c>
      <c r="Z345" s="506">
        <f t="shared" si="95"/>
        <v>0</v>
      </c>
      <c r="AA345" s="507">
        <f t="shared" si="95"/>
        <v>0</v>
      </c>
      <c r="AB345" s="500"/>
      <c r="AC345" s="501"/>
      <c r="AD345" s="502"/>
      <c r="AE345" s="503">
        <v>1500</v>
      </c>
      <c r="AF345" s="501">
        <v>1500</v>
      </c>
      <c r="AG345" s="504">
        <v>1500</v>
      </c>
      <c r="AH345" s="500"/>
      <c r="AI345" s="501"/>
      <c r="AJ345" s="502"/>
      <c r="AK345" s="503">
        <v>1000</v>
      </c>
      <c r="AL345" s="501">
        <v>1000</v>
      </c>
      <c r="AM345" s="504">
        <v>1500</v>
      </c>
      <c r="AN345" s="500">
        <v>1000</v>
      </c>
      <c r="AO345" s="501">
        <v>1000</v>
      </c>
      <c r="AP345" s="502">
        <v>1000</v>
      </c>
      <c r="AQ345" s="503"/>
      <c r="AR345" s="501"/>
      <c r="AS345" s="504"/>
      <c r="AT345" s="500">
        <v>150</v>
      </c>
      <c r="AU345" s="501">
        <v>152</v>
      </c>
      <c r="AV345" s="502">
        <v>154</v>
      </c>
      <c r="AW345" s="503">
        <v>700</v>
      </c>
      <c r="AX345" s="501">
        <v>700</v>
      </c>
      <c r="AY345" s="504">
        <v>750</v>
      </c>
      <c r="AZ345" s="500">
        <v>5</v>
      </c>
      <c r="BA345" s="501">
        <v>5</v>
      </c>
      <c r="BB345" s="502">
        <v>5</v>
      </c>
      <c r="BC345" s="503">
        <v>100</v>
      </c>
      <c r="BD345" s="501">
        <v>100</v>
      </c>
      <c r="BE345" s="504">
        <v>100</v>
      </c>
      <c r="BF345" s="500"/>
      <c r="BG345" s="501"/>
      <c r="BH345" s="502"/>
      <c r="BI345" s="503">
        <v>4000</v>
      </c>
      <c r="BJ345" s="501">
        <v>4000</v>
      </c>
      <c r="BK345" s="504">
        <v>4000</v>
      </c>
      <c r="BL345" s="500">
        <v>1000</v>
      </c>
      <c r="BM345" s="501">
        <v>1000</v>
      </c>
      <c r="BN345" s="502">
        <v>1000</v>
      </c>
      <c r="BO345" s="503"/>
      <c r="BP345" s="501"/>
      <c r="BQ345" s="502"/>
      <c r="BR345" s="730">
        <f t="shared" si="97"/>
        <v>9455</v>
      </c>
      <c r="BS345" s="731">
        <f t="shared" si="97"/>
        <v>9457</v>
      </c>
      <c r="BT345" s="732">
        <f t="shared" si="97"/>
        <v>10009</v>
      </c>
      <c r="BU345" s="503"/>
      <c r="BV345" s="501"/>
      <c r="BW345" s="504"/>
    </row>
    <row r="346" spans="1:75" s="733" customFormat="1" ht="24">
      <c r="A346" s="519" t="s">
        <v>16</v>
      </c>
      <c r="B346" s="521">
        <v>31</v>
      </c>
      <c r="C346" s="520" t="s">
        <v>22</v>
      </c>
      <c r="D346" s="521">
        <v>6415</v>
      </c>
      <c r="E346" s="522" t="s">
        <v>717</v>
      </c>
      <c r="F346" s="523"/>
      <c r="G346" s="727">
        <f t="shared" si="93"/>
        <v>12750</v>
      </c>
      <c r="H346" s="728">
        <f t="shared" si="93"/>
        <v>12760</v>
      </c>
      <c r="I346" s="729">
        <f t="shared" si="93"/>
        <v>12770</v>
      </c>
      <c r="J346" s="500">
        <v>10000</v>
      </c>
      <c r="K346" s="501">
        <v>10000</v>
      </c>
      <c r="L346" s="502">
        <v>10000</v>
      </c>
      <c r="M346" s="503"/>
      <c r="N346" s="501"/>
      <c r="O346" s="504"/>
      <c r="P346" s="500"/>
      <c r="Q346" s="501"/>
      <c r="R346" s="502"/>
      <c r="S346" s="503"/>
      <c r="T346" s="501"/>
      <c r="U346" s="504"/>
      <c r="V346" s="500"/>
      <c r="W346" s="501"/>
      <c r="X346" s="504"/>
      <c r="Y346" s="505">
        <f t="shared" si="95"/>
        <v>10000</v>
      </c>
      <c r="Z346" s="506">
        <f t="shared" si="95"/>
        <v>10000</v>
      </c>
      <c r="AA346" s="507">
        <f t="shared" si="95"/>
        <v>10000</v>
      </c>
      <c r="AB346" s="500"/>
      <c r="AC346" s="501"/>
      <c r="AD346" s="502"/>
      <c r="AE346" s="503">
        <v>500</v>
      </c>
      <c r="AF346" s="501">
        <v>500</v>
      </c>
      <c r="AG346" s="504">
        <v>500</v>
      </c>
      <c r="AH346" s="500"/>
      <c r="AI346" s="501"/>
      <c r="AJ346" s="502"/>
      <c r="AK346" s="503"/>
      <c r="AL346" s="501"/>
      <c r="AM346" s="504"/>
      <c r="AN346" s="500">
        <v>1000</v>
      </c>
      <c r="AO346" s="501">
        <v>1000</v>
      </c>
      <c r="AP346" s="502">
        <v>1000</v>
      </c>
      <c r="AQ346" s="503"/>
      <c r="AR346" s="501"/>
      <c r="AS346" s="504"/>
      <c r="AT346" s="500">
        <v>950</v>
      </c>
      <c r="AU346" s="501">
        <v>960</v>
      </c>
      <c r="AV346" s="502">
        <v>970</v>
      </c>
      <c r="AW346" s="503"/>
      <c r="AX346" s="501"/>
      <c r="AY346" s="504"/>
      <c r="AZ346" s="500"/>
      <c r="BA346" s="501"/>
      <c r="BB346" s="502"/>
      <c r="BC346" s="503"/>
      <c r="BD346" s="501"/>
      <c r="BE346" s="504"/>
      <c r="BF346" s="500"/>
      <c r="BG346" s="501"/>
      <c r="BH346" s="502"/>
      <c r="BI346" s="503"/>
      <c r="BJ346" s="501"/>
      <c r="BK346" s="504"/>
      <c r="BL346" s="500">
        <v>300</v>
      </c>
      <c r="BM346" s="501">
        <v>300</v>
      </c>
      <c r="BN346" s="502">
        <v>300</v>
      </c>
      <c r="BO346" s="503"/>
      <c r="BP346" s="501"/>
      <c r="BQ346" s="502"/>
      <c r="BR346" s="730">
        <f t="shared" si="97"/>
        <v>12750</v>
      </c>
      <c r="BS346" s="731">
        <f t="shared" si="97"/>
        <v>12760</v>
      </c>
      <c r="BT346" s="732">
        <f t="shared" si="97"/>
        <v>12770</v>
      </c>
      <c r="BU346" s="503"/>
      <c r="BV346" s="501"/>
      <c r="BW346" s="504"/>
    </row>
    <row r="347" spans="1:75" s="733" customFormat="1" ht="24">
      <c r="A347" s="519" t="s">
        <v>16</v>
      </c>
      <c r="B347" s="521">
        <v>31</v>
      </c>
      <c r="C347" s="520" t="s">
        <v>22</v>
      </c>
      <c r="D347" s="521">
        <v>6614</v>
      </c>
      <c r="E347" s="522" t="s">
        <v>25</v>
      </c>
      <c r="F347" s="523"/>
      <c r="G347" s="727">
        <f t="shared" si="93"/>
        <v>864800</v>
      </c>
      <c r="H347" s="728">
        <f t="shared" si="93"/>
        <v>903125</v>
      </c>
      <c r="I347" s="729">
        <f t="shared" si="93"/>
        <v>899750</v>
      </c>
      <c r="J347" s="500"/>
      <c r="K347" s="501"/>
      <c r="L347" s="502"/>
      <c r="M347" s="503"/>
      <c r="N347" s="501"/>
      <c r="O347" s="504"/>
      <c r="P347" s="500"/>
      <c r="Q347" s="501"/>
      <c r="R347" s="502"/>
      <c r="S347" s="503"/>
      <c r="T347" s="501"/>
      <c r="U347" s="504"/>
      <c r="V347" s="500">
        <v>2300</v>
      </c>
      <c r="W347" s="501">
        <v>2400</v>
      </c>
      <c r="X347" s="504">
        <v>2400</v>
      </c>
      <c r="Y347" s="505">
        <f t="shared" si="95"/>
        <v>2300</v>
      </c>
      <c r="Z347" s="506">
        <f t="shared" si="95"/>
        <v>2400</v>
      </c>
      <c r="AA347" s="507">
        <f t="shared" si="95"/>
        <v>2400</v>
      </c>
      <c r="AB347" s="500"/>
      <c r="AC347" s="501"/>
      <c r="AD347" s="502"/>
      <c r="AE347" s="503">
        <v>50000</v>
      </c>
      <c r="AF347" s="501">
        <v>50000</v>
      </c>
      <c r="AG347" s="504">
        <v>45000</v>
      </c>
      <c r="AH347" s="500">
        <v>420000</v>
      </c>
      <c r="AI347" s="501">
        <v>450000</v>
      </c>
      <c r="AJ347" s="502">
        <v>450000</v>
      </c>
      <c r="AK347" s="503"/>
      <c r="AL347" s="501"/>
      <c r="AM347" s="504"/>
      <c r="AN347" s="500">
        <v>1500</v>
      </c>
      <c r="AO347" s="501">
        <v>1500</v>
      </c>
      <c r="AP347" s="502">
        <v>1500</v>
      </c>
      <c r="AQ347" s="503">
        <v>7500</v>
      </c>
      <c r="AR347" s="501">
        <v>7500</v>
      </c>
      <c r="AS347" s="504">
        <v>7500</v>
      </c>
      <c r="AT347" s="500">
        <v>24500</v>
      </c>
      <c r="AU347" s="501">
        <v>24475</v>
      </c>
      <c r="AV347" s="502">
        <v>25000</v>
      </c>
      <c r="AW347" s="503">
        <v>35000</v>
      </c>
      <c r="AX347" s="501">
        <v>35000</v>
      </c>
      <c r="AY347" s="504">
        <v>35000</v>
      </c>
      <c r="AZ347" s="500">
        <v>20000</v>
      </c>
      <c r="BA347" s="501">
        <v>27250</v>
      </c>
      <c r="BB347" s="502">
        <v>28350</v>
      </c>
      <c r="BC347" s="503"/>
      <c r="BD347" s="501"/>
      <c r="BE347" s="504"/>
      <c r="BF347" s="500">
        <v>50000</v>
      </c>
      <c r="BG347" s="501">
        <v>50000</v>
      </c>
      <c r="BH347" s="502">
        <v>50000</v>
      </c>
      <c r="BI347" s="503">
        <v>19000</v>
      </c>
      <c r="BJ347" s="501">
        <v>20000</v>
      </c>
      <c r="BK347" s="504">
        <v>20000</v>
      </c>
      <c r="BL347" s="500">
        <v>15000</v>
      </c>
      <c r="BM347" s="501">
        <v>15000</v>
      </c>
      <c r="BN347" s="502">
        <v>15000</v>
      </c>
      <c r="BO347" s="503"/>
      <c r="BP347" s="501"/>
      <c r="BQ347" s="502"/>
      <c r="BR347" s="730">
        <f t="shared" si="97"/>
        <v>644800</v>
      </c>
      <c r="BS347" s="731">
        <f t="shared" si="97"/>
        <v>683125</v>
      </c>
      <c r="BT347" s="732">
        <f t="shared" si="97"/>
        <v>679750</v>
      </c>
      <c r="BU347" s="503">
        <v>220000</v>
      </c>
      <c r="BV347" s="501">
        <v>220000</v>
      </c>
      <c r="BW347" s="504">
        <v>220000</v>
      </c>
    </row>
    <row r="348" spans="1:75" s="733" customFormat="1" ht="24">
      <c r="A348" s="519" t="s">
        <v>16</v>
      </c>
      <c r="B348" s="521">
        <v>31</v>
      </c>
      <c r="C348" s="520" t="s">
        <v>22</v>
      </c>
      <c r="D348" s="521">
        <v>6615</v>
      </c>
      <c r="E348" s="522" t="s">
        <v>26</v>
      </c>
      <c r="F348" s="523"/>
      <c r="G348" s="727">
        <f t="shared" si="93"/>
        <v>41471043</v>
      </c>
      <c r="H348" s="728">
        <f t="shared" si="93"/>
        <v>41440685</v>
      </c>
      <c r="I348" s="729">
        <f t="shared" si="93"/>
        <v>41449504</v>
      </c>
      <c r="J348" s="500">
        <v>520000</v>
      </c>
      <c r="K348" s="501">
        <v>550000</v>
      </c>
      <c r="L348" s="502">
        <v>600000</v>
      </c>
      <c r="M348" s="503">
        <v>910000</v>
      </c>
      <c r="N348" s="501">
        <v>919000</v>
      </c>
      <c r="O348" s="504">
        <v>928000</v>
      </c>
      <c r="P348" s="500">
        <v>75000</v>
      </c>
      <c r="Q348" s="501">
        <v>100000</v>
      </c>
      <c r="R348" s="502">
        <v>100000</v>
      </c>
      <c r="S348" s="503">
        <v>4500</v>
      </c>
      <c r="T348" s="501">
        <v>4595</v>
      </c>
      <c r="U348" s="504">
        <v>4630</v>
      </c>
      <c r="V348" s="500"/>
      <c r="W348" s="501"/>
      <c r="X348" s="504"/>
      <c r="Y348" s="505">
        <f t="shared" si="95"/>
        <v>1509500</v>
      </c>
      <c r="Z348" s="506">
        <f t="shared" si="95"/>
        <v>1573595</v>
      </c>
      <c r="AA348" s="507">
        <f t="shared" si="95"/>
        <v>1632630</v>
      </c>
      <c r="AB348" s="500">
        <v>180000</v>
      </c>
      <c r="AC348" s="501">
        <v>180000</v>
      </c>
      <c r="AD348" s="502">
        <v>180000</v>
      </c>
      <c r="AE348" s="503">
        <v>2000000</v>
      </c>
      <c r="AF348" s="501">
        <v>1920000</v>
      </c>
      <c r="AG348" s="504">
        <v>1829000</v>
      </c>
      <c r="AH348" s="500">
        <v>2707993</v>
      </c>
      <c r="AI348" s="501">
        <v>2592740</v>
      </c>
      <c r="AJ348" s="502">
        <v>2621324</v>
      </c>
      <c r="AK348" s="503">
        <v>100000</v>
      </c>
      <c r="AL348" s="501">
        <v>110000</v>
      </c>
      <c r="AM348" s="504">
        <v>125000</v>
      </c>
      <c r="AN348" s="500">
        <v>1400000</v>
      </c>
      <c r="AO348" s="501">
        <v>1400000</v>
      </c>
      <c r="AP348" s="502">
        <v>1400000</v>
      </c>
      <c r="AQ348" s="503">
        <v>5150000</v>
      </c>
      <c r="AR348" s="501">
        <v>5151000</v>
      </c>
      <c r="AS348" s="504">
        <v>5152000</v>
      </c>
      <c r="AT348" s="500">
        <v>990000</v>
      </c>
      <c r="AU348" s="501">
        <v>999900</v>
      </c>
      <c r="AV348" s="502">
        <v>1000000</v>
      </c>
      <c r="AW348" s="503">
        <v>1145750</v>
      </c>
      <c r="AX348" s="501">
        <v>1205900</v>
      </c>
      <c r="AY348" s="504">
        <v>1205900</v>
      </c>
      <c r="AZ348" s="500">
        <v>100000</v>
      </c>
      <c r="BA348" s="501">
        <v>78750</v>
      </c>
      <c r="BB348" s="502">
        <v>79650</v>
      </c>
      <c r="BC348" s="503"/>
      <c r="BD348" s="501"/>
      <c r="BE348" s="504"/>
      <c r="BF348" s="500">
        <v>1130000</v>
      </c>
      <c r="BG348" s="501">
        <v>1135000</v>
      </c>
      <c r="BH348" s="502">
        <v>1135000</v>
      </c>
      <c r="BI348" s="503">
        <v>665000</v>
      </c>
      <c r="BJ348" s="501">
        <v>695000</v>
      </c>
      <c r="BK348" s="504">
        <v>694000</v>
      </c>
      <c r="BL348" s="500">
        <v>602800</v>
      </c>
      <c r="BM348" s="501">
        <v>603800</v>
      </c>
      <c r="BN348" s="502">
        <v>600000</v>
      </c>
      <c r="BO348" s="503">
        <v>80000</v>
      </c>
      <c r="BP348" s="501">
        <v>85000</v>
      </c>
      <c r="BQ348" s="502">
        <v>85000</v>
      </c>
      <c r="BR348" s="730">
        <f t="shared" si="97"/>
        <v>17761043</v>
      </c>
      <c r="BS348" s="731">
        <f t="shared" si="97"/>
        <v>17730685</v>
      </c>
      <c r="BT348" s="732">
        <f t="shared" si="97"/>
        <v>17739504</v>
      </c>
      <c r="BU348" s="503">
        <v>23710000</v>
      </c>
      <c r="BV348" s="501">
        <v>23710000</v>
      </c>
      <c r="BW348" s="504">
        <v>23710000</v>
      </c>
    </row>
    <row r="349" spans="1:75" s="733" customFormat="1" ht="24">
      <c r="A349" s="519" t="s">
        <v>16</v>
      </c>
      <c r="B349" s="521">
        <v>31</v>
      </c>
      <c r="C349" s="520" t="s">
        <v>22</v>
      </c>
      <c r="D349" s="521">
        <v>6831</v>
      </c>
      <c r="E349" s="522" t="s">
        <v>142</v>
      </c>
      <c r="F349" s="523"/>
      <c r="G349" s="727">
        <f t="shared" si="93"/>
        <v>10150</v>
      </c>
      <c r="H349" s="728">
        <f t="shared" si="93"/>
        <v>10000</v>
      </c>
      <c r="I349" s="729">
        <f t="shared" si="93"/>
        <v>10000</v>
      </c>
      <c r="J349" s="500"/>
      <c r="K349" s="501"/>
      <c r="L349" s="502"/>
      <c r="M349" s="503"/>
      <c r="N349" s="501"/>
      <c r="O349" s="504"/>
      <c r="P349" s="500"/>
      <c r="Q349" s="501"/>
      <c r="R349" s="502"/>
      <c r="S349" s="503"/>
      <c r="T349" s="501"/>
      <c r="U349" s="504"/>
      <c r="V349" s="500"/>
      <c r="W349" s="501"/>
      <c r="X349" s="504"/>
      <c r="Y349" s="505">
        <f t="shared" si="95"/>
        <v>0</v>
      </c>
      <c r="Z349" s="506">
        <f t="shared" si="95"/>
        <v>0</v>
      </c>
      <c r="AA349" s="507">
        <f t="shared" si="95"/>
        <v>0</v>
      </c>
      <c r="AB349" s="500"/>
      <c r="AC349" s="501"/>
      <c r="AD349" s="502"/>
      <c r="AE349" s="503"/>
      <c r="AF349" s="501"/>
      <c r="AG349" s="504"/>
      <c r="AH349" s="500"/>
      <c r="AI349" s="501"/>
      <c r="AJ349" s="502"/>
      <c r="AK349" s="503"/>
      <c r="AL349" s="501"/>
      <c r="AM349" s="504"/>
      <c r="AN349" s="500"/>
      <c r="AO349" s="501"/>
      <c r="AP349" s="502"/>
      <c r="AQ349" s="503"/>
      <c r="AR349" s="501"/>
      <c r="AS349" s="504"/>
      <c r="AT349" s="500"/>
      <c r="AU349" s="501"/>
      <c r="AV349" s="502"/>
      <c r="AW349" s="503"/>
      <c r="AX349" s="501"/>
      <c r="AY349" s="504"/>
      <c r="AZ349" s="500">
        <v>10150</v>
      </c>
      <c r="BA349" s="501">
        <v>10000</v>
      </c>
      <c r="BB349" s="502">
        <v>10000</v>
      </c>
      <c r="BC349" s="503"/>
      <c r="BD349" s="501"/>
      <c r="BE349" s="504"/>
      <c r="BF349" s="500"/>
      <c r="BG349" s="501"/>
      <c r="BH349" s="502"/>
      <c r="BI349" s="503"/>
      <c r="BJ349" s="501"/>
      <c r="BK349" s="504"/>
      <c r="BL349" s="500"/>
      <c r="BM349" s="501"/>
      <c r="BN349" s="502"/>
      <c r="BO349" s="503"/>
      <c r="BP349" s="501"/>
      <c r="BQ349" s="502"/>
      <c r="BR349" s="730">
        <f t="shared" si="97"/>
        <v>10150</v>
      </c>
      <c r="BS349" s="731">
        <f t="shared" si="97"/>
        <v>10000</v>
      </c>
      <c r="BT349" s="732">
        <f t="shared" si="97"/>
        <v>10000</v>
      </c>
      <c r="BU349" s="503"/>
      <c r="BV349" s="501"/>
      <c r="BW349" s="504"/>
    </row>
    <row r="350" spans="1:75" s="733" customFormat="1">
      <c r="A350" s="712" t="s">
        <v>16</v>
      </c>
      <c r="B350" s="713">
        <v>31</v>
      </c>
      <c r="C350" s="714" t="s">
        <v>22</v>
      </c>
      <c r="D350" s="713"/>
      <c r="E350" s="715" t="s">
        <v>692</v>
      </c>
      <c r="F350" s="716"/>
      <c r="G350" s="726">
        <f t="shared" ref="G350:BR350" si="100">SUM(G344:G349)</f>
        <v>42455553</v>
      </c>
      <c r="H350" s="718">
        <f t="shared" si="100"/>
        <v>42433389</v>
      </c>
      <c r="I350" s="719">
        <f t="shared" si="100"/>
        <v>42424401</v>
      </c>
      <c r="J350" s="720">
        <f t="shared" si="100"/>
        <v>533000</v>
      </c>
      <c r="K350" s="718">
        <f t="shared" si="100"/>
        <v>563000</v>
      </c>
      <c r="L350" s="734">
        <f t="shared" si="100"/>
        <v>613000</v>
      </c>
      <c r="M350" s="726">
        <f t="shared" si="100"/>
        <v>910170</v>
      </c>
      <c r="N350" s="718">
        <f t="shared" si="100"/>
        <v>919175</v>
      </c>
      <c r="O350" s="719">
        <f t="shared" si="100"/>
        <v>928180</v>
      </c>
      <c r="P350" s="720">
        <f t="shared" si="100"/>
        <v>75100</v>
      </c>
      <c r="Q350" s="718">
        <f t="shared" si="100"/>
        <v>100100</v>
      </c>
      <c r="R350" s="734">
        <f t="shared" si="100"/>
        <v>100100</v>
      </c>
      <c r="S350" s="726">
        <f t="shared" si="100"/>
        <v>4585</v>
      </c>
      <c r="T350" s="718">
        <f t="shared" si="100"/>
        <v>4682</v>
      </c>
      <c r="U350" s="719">
        <f t="shared" si="100"/>
        <v>4718</v>
      </c>
      <c r="V350" s="720">
        <f t="shared" si="100"/>
        <v>2300</v>
      </c>
      <c r="W350" s="718">
        <f t="shared" si="100"/>
        <v>2400</v>
      </c>
      <c r="X350" s="719">
        <f t="shared" si="100"/>
        <v>2400</v>
      </c>
      <c r="Y350" s="726">
        <f t="shared" si="100"/>
        <v>1525155</v>
      </c>
      <c r="Z350" s="718">
        <f t="shared" si="100"/>
        <v>1589357</v>
      </c>
      <c r="AA350" s="719">
        <f t="shared" si="100"/>
        <v>1648398</v>
      </c>
      <c r="AB350" s="720">
        <f t="shared" si="100"/>
        <v>180000</v>
      </c>
      <c r="AC350" s="718">
        <f t="shared" si="100"/>
        <v>180000</v>
      </c>
      <c r="AD350" s="734">
        <f t="shared" si="100"/>
        <v>180000</v>
      </c>
      <c r="AE350" s="726">
        <f t="shared" si="100"/>
        <v>2132000</v>
      </c>
      <c r="AF350" s="718">
        <f t="shared" si="100"/>
        <v>2022000</v>
      </c>
      <c r="AG350" s="719">
        <f t="shared" si="100"/>
        <v>1911000</v>
      </c>
      <c r="AH350" s="720">
        <f t="shared" si="100"/>
        <v>3127993</v>
      </c>
      <c r="AI350" s="718">
        <f t="shared" si="100"/>
        <v>3042740</v>
      </c>
      <c r="AJ350" s="734">
        <f t="shared" si="100"/>
        <v>3071324</v>
      </c>
      <c r="AK350" s="726">
        <f t="shared" si="100"/>
        <v>101000</v>
      </c>
      <c r="AL350" s="718">
        <f t="shared" si="100"/>
        <v>111000</v>
      </c>
      <c r="AM350" s="719">
        <f t="shared" si="100"/>
        <v>126500</v>
      </c>
      <c r="AN350" s="720">
        <f t="shared" si="100"/>
        <v>1403500</v>
      </c>
      <c r="AO350" s="718">
        <f t="shared" si="100"/>
        <v>1403500</v>
      </c>
      <c r="AP350" s="734">
        <f t="shared" si="100"/>
        <v>1403500</v>
      </c>
      <c r="AQ350" s="726">
        <f t="shared" si="100"/>
        <v>5157500</v>
      </c>
      <c r="AR350" s="718">
        <f t="shared" si="100"/>
        <v>5158500</v>
      </c>
      <c r="AS350" s="719">
        <f t="shared" si="100"/>
        <v>5159500</v>
      </c>
      <c r="AT350" s="720">
        <f t="shared" si="100"/>
        <v>1015600</v>
      </c>
      <c r="AU350" s="718">
        <f t="shared" si="100"/>
        <v>1025487</v>
      </c>
      <c r="AV350" s="734">
        <f t="shared" si="100"/>
        <v>1026124</v>
      </c>
      <c r="AW350" s="726">
        <f t="shared" si="100"/>
        <v>1181450</v>
      </c>
      <c r="AX350" s="718">
        <f t="shared" si="100"/>
        <v>1241600</v>
      </c>
      <c r="AY350" s="719">
        <f t="shared" si="100"/>
        <v>1241650</v>
      </c>
      <c r="AZ350" s="720">
        <f t="shared" si="100"/>
        <v>130155</v>
      </c>
      <c r="BA350" s="718">
        <f t="shared" si="100"/>
        <v>116005</v>
      </c>
      <c r="BB350" s="734">
        <f t="shared" si="100"/>
        <v>118005</v>
      </c>
      <c r="BC350" s="726">
        <f t="shared" si="100"/>
        <v>100</v>
      </c>
      <c r="BD350" s="718">
        <f t="shared" si="100"/>
        <v>100</v>
      </c>
      <c r="BE350" s="719">
        <f t="shared" si="100"/>
        <v>100</v>
      </c>
      <c r="BF350" s="720">
        <f t="shared" si="100"/>
        <v>1184000</v>
      </c>
      <c r="BG350" s="718">
        <f t="shared" si="100"/>
        <v>1189000</v>
      </c>
      <c r="BH350" s="734">
        <f t="shared" si="100"/>
        <v>1189000</v>
      </c>
      <c r="BI350" s="726">
        <f t="shared" si="100"/>
        <v>688000</v>
      </c>
      <c r="BJ350" s="718">
        <f t="shared" si="100"/>
        <v>719000</v>
      </c>
      <c r="BK350" s="719">
        <f t="shared" si="100"/>
        <v>718000</v>
      </c>
      <c r="BL350" s="720">
        <f t="shared" si="100"/>
        <v>619100</v>
      </c>
      <c r="BM350" s="718">
        <f t="shared" si="100"/>
        <v>620100</v>
      </c>
      <c r="BN350" s="734">
        <f t="shared" si="100"/>
        <v>616300</v>
      </c>
      <c r="BO350" s="726">
        <f t="shared" si="100"/>
        <v>80000</v>
      </c>
      <c r="BP350" s="718">
        <f t="shared" si="100"/>
        <v>85000</v>
      </c>
      <c r="BQ350" s="734">
        <f t="shared" si="100"/>
        <v>85000</v>
      </c>
      <c r="BR350" s="726">
        <f t="shared" si="100"/>
        <v>18525553</v>
      </c>
      <c r="BS350" s="718">
        <f t="shared" ref="BS350:BW350" si="101">SUM(BS344:BS349)</f>
        <v>18503389</v>
      </c>
      <c r="BT350" s="734">
        <f t="shared" si="101"/>
        <v>18494401</v>
      </c>
      <c r="BU350" s="726">
        <f t="shared" si="101"/>
        <v>23930000</v>
      </c>
      <c r="BV350" s="718">
        <f t="shared" si="101"/>
        <v>23930000</v>
      </c>
      <c r="BW350" s="719">
        <f t="shared" si="101"/>
        <v>23930000</v>
      </c>
    </row>
    <row r="351" spans="1:75" s="733" customFormat="1" ht="36">
      <c r="A351" s="519" t="s">
        <v>16</v>
      </c>
      <c r="B351" s="521">
        <v>43</v>
      </c>
      <c r="C351" s="520" t="s">
        <v>27</v>
      </c>
      <c r="D351" s="521">
        <v>65264</v>
      </c>
      <c r="E351" s="522" t="s">
        <v>28</v>
      </c>
      <c r="F351" s="523"/>
      <c r="G351" s="727">
        <f t="shared" ref="G351:I353" si="102">BR351+BU351</f>
        <v>66135979</v>
      </c>
      <c r="H351" s="728">
        <f t="shared" si="102"/>
        <v>70816287</v>
      </c>
      <c r="I351" s="729">
        <f t="shared" si="102"/>
        <v>72098485</v>
      </c>
      <c r="J351" s="500">
        <v>2100000</v>
      </c>
      <c r="K351" s="501">
        <v>2150000</v>
      </c>
      <c r="L351" s="502">
        <v>2200000</v>
      </c>
      <c r="M351" s="503">
        <v>580000</v>
      </c>
      <c r="N351" s="501">
        <v>586000</v>
      </c>
      <c r="O351" s="504">
        <v>592000</v>
      </c>
      <c r="P351" s="500">
        <v>150000</v>
      </c>
      <c r="Q351" s="501">
        <v>150000</v>
      </c>
      <c r="R351" s="502">
        <v>150000</v>
      </c>
      <c r="S351" s="503">
        <v>400000</v>
      </c>
      <c r="T351" s="501">
        <v>408400</v>
      </c>
      <c r="U351" s="504">
        <v>411667</v>
      </c>
      <c r="V351" s="500">
        <v>1023300</v>
      </c>
      <c r="W351" s="501">
        <v>1075400</v>
      </c>
      <c r="X351" s="504">
        <v>1099800</v>
      </c>
      <c r="Y351" s="505">
        <f t="shared" ref="Y351:AA353" si="103">J351+M351+P351+S351+V351</f>
        <v>4253300</v>
      </c>
      <c r="Z351" s="506">
        <f t="shared" si="103"/>
        <v>4369800</v>
      </c>
      <c r="AA351" s="507">
        <f t="shared" si="103"/>
        <v>4453467</v>
      </c>
      <c r="AB351" s="500">
        <v>1904300</v>
      </c>
      <c r="AC351" s="501">
        <v>1904300</v>
      </c>
      <c r="AD351" s="502">
        <v>1904300</v>
      </c>
      <c r="AE351" s="503">
        <v>7700000</v>
      </c>
      <c r="AF351" s="501">
        <v>7600000</v>
      </c>
      <c r="AG351" s="504">
        <v>7500000</v>
      </c>
      <c r="AH351" s="500">
        <v>2300000</v>
      </c>
      <c r="AI351" s="501">
        <v>2712250</v>
      </c>
      <c r="AJ351" s="502">
        <v>2400655</v>
      </c>
      <c r="AK351" s="503">
        <v>16550000</v>
      </c>
      <c r="AL351" s="501">
        <v>16750000</v>
      </c>
      <c r="AM351" s="504">
        <v>16880000</v>
      </c>
      <c r="AN351" s="500">
        <v>4000000</v>
      </c>
      <c r="AO351" s="501">
        <v>4000000</v>
      </c>
      <c r="AP351" s="502">
        <v>4000000</v>
      </c>
      <c r="AQ351" s="503">
        <v>1710000</v>
      </c>
      <c r="AR351" s="501">
        <v>1715000</v>
      </c>
      <c r="AS351" s="504">
        <v>1720000</v>
      </c>
      <c r="AT351" s="500">
        <f>3100000-381621</f>
        <v>2718379</v>
      </c>
      <c r="AU351" s="501">
        <v>3150000</v>
      </c>
      <c r="AV351" s="502">
        <v>3200000</v>
      </c>
      <c r="AW351" s="503">
        <f>3200000-500000</f>
        <v>2700000</v>
      </c>
      <c r="AX351" s="501">
        <f>3300000-542468</f>
        <v>2757532</v>
      </c>
      <c r="AY351" s="504">
        <f>3300000-374975</f>
        <v>2925025</v>
      </c>
      <c r="AZ351" s="500">
        <v>130000</v>
      </c>
      <c r="BA351" s="501">
        <v>168250</v>
      </c>
      <c r="BB351" s="502">
        <v>160350</v>
      </c>
      <c r="BC351" s="503">
        <f>490000-40000</f>
        <v>450000</v>
      </c>
      <c r="BD351" s="501">
        <v>500655</v>
      </c>
      <c r="BE351" s="504">
        <v>504188</v>
      </c>
      <c r="BF351" s="500">
        <f>7880000-1000000</f>
        <v>6880000</v>
      </c>
      <c r="BG351" s="501">
        <v>8500000</v>
      </c>
      <c r="BH351" s="502">
        <v>9000000</v>
      </c>
      <c r="BI351" s="503">
        <v>12035000</v>
      </c>
      <c r="BJ351" s="501">
        <f>13989000-145500</f>
        <v>13843500</v>
      </c>
      <c r="BK351" s="504">
        <f>14741000-145500</f>
        <v>14595500</v>
      </c>
      <c r="BL351" s="500">
        <v>2105000</v>
      </c>
      <c r="BM351" s="501">
        <v>2105000</v>
      </c>
      <c r="BN351" s="502">
        <v>2105000</v>
      </c>
      <c r="BO351" s="503">
        <v>700000</v>
      </c>
      <c r="BP351" s="501">
        <v>740000</v>
      </c>
      <c r="BQ351" s="502">
        <v>750000</v>
      </c>
      <c r="BR351" s="730">
        <f t="shared" ref="BR351:BT353" si="104">AB351+AE351+AH351+AK351+AN351+AQ351+AT351+AW351+AZ351+BC351+BF351+BI351+BL351+BO351+Y351</f>
        <v>66135979</v>
      </c>
      <c r="BS351" s="731">
        <f t="shared" si="104"/>
        <v>70816287</v>
      </c>
      <c r="BT351" s="732">
        <f t="shared" si="104"/>
        <v>72098485</v>
      </c>
      <c r="BU351" s="503"/>
      <c r="BV351" s="501"/>
      <c r="BW351" s="504"/>
    </row>
    <row r="352" spans="1:75" s="733" customFormat="1" ht="36">
      <c r="A352" s="519" t="s">
        <v>16</v>
      </c>
      <c r="B352" s="521">
        <v>43</v>
      </c>
      <c r="C352" s="520" t="s">
        <v>27</v>
      </c>
      <c r="D352" s="521">
        <v>65268</v>
      </c>
      <c r="E352" s="522" t="s">
        <v>27</v>
      </c>
      <c r="F352" s="523"/>
      <c r="G352" s="727">
        <f t="shared" si="102"/>
        <v>25426072</v>
      </c>
      <c r="H352" s="728">
        <f t="shared" si="102"/>
        <v>23066255</v>
      </c>
      <c r="I352" s="729">
        <f t="shared" si="102"/>
        <v>23494055</v>
      </c>
      <c r="J352" s="500">
        <v>3000000</v>
      </c>
      <c r="K352" s="616">
        <v>3200000</v>
      </c>
      <c r="L352" s="735">
        <v>3400000</v>
      </c>
      <c r="M352" s="736">
        <v>500300</v>
      </c>
      <c r="N352" s="737">
        <v>414000</v>
      </c>
      <c r="O352" s="504">
        <v>418200</v>
      </c>
      <c r="P352" s="500"/>
      <c r="Q352" s="501"/>
      <c r="R352" s="502"/>
      <c r="S352" s="503">
        <v>131500</v>
      </c>
      <c r="T352" s="501">
        <v>20000</v>
      </c>
      <c r="U352" s="504">
        <v>20000</v>
      </c>
      <c r="V352" s="500">
        <v>300000</v>
      </c>
      <c r="W352" s="501">
        <v>500000</v>
      </c>
      <c r="X352" s="504">
        <v>500000</v>
      </c>
      <c r="Y352" s="505">
        <f t="shared" si="103"/>
        <v>3931800</v>
      </c>
      <c r="Z352" s="506">
        <f t="shared" si="103"/>
        <v>4134000</v>
      </c>
      <c r="AA352" s="507">
        <f t="shared" si="103"/>
        <v>4338200</v>
      </c>
      <c r="AB352" s="500"/>
      <c r="AC352" s="501"/>
      <c r="AD352" s="502"/>
      <c r="AE352" s="503">
        <v>215820</v>
      </c>
      <c r="AF352" s="501">
        <v>100000</v>
      </c>
      <c r="AG352" s="504">
        <f>100000+105000</f>
        <v>205000</v>
      </c>
      <c r="AH352" s="500">
        <v>1680000</v>
      </c>
      <c r="AI352" s="501">
        <v>712900</v>
      </c>
      <c r="AJ352" s="502">
        <v>815500</v>
      </c>
      <c r="AK352" s="503"/>
      <c r="AL352" s="501"/>
      <c r="AM352" s="504"/>
      <c r="AN352" s="500">
        <v>955000</v>
      </c>
      <c r="AO352" s="501">
        <v>955000</v>
      </c>
      <c r="AP352" s="502">
        <v>955000</v>
      </c>
      <c r="AQ352" s="503">
        <f>1117000-324948</f>
        <v>792052</v>
      </c>
      <c r="AR352" s="501">
        <f>1120000-871645</f>
        <v>248355</v>
      </c>
      <c r="AS352" s="504">
        <f>1125000-871645</f>
        <v>253355</v>
      </c>
      <c r="AT352" s="500"/>
      <c r="AU352" s="501"/>
      <c r="AV352" s="502"/>
      <c r="AW352" s="503">
        <v>750000</v>
      </c>
      <c r="AX352" s="501">
        <v>800000</v>
      </c>
      <c r="AY352" s="504">
        <v>800000</v>
      </c>
      <c r="AZ352" s="500">
        <v>220000</v>
      </c>
      <c r="BA352" s="501">
        <v>250000</v>
      </c>
      <c r="BB352" s="502">
        <v>260000</v>
      </c>
      <c r="BC352" s="503">
        <v>65000</v>
      </c>
      <c r="BD352" s="501">
        <v>66000</v>
      </c>
      <c r="BE352" s="504">
        <v>67000</v>
      </c>
      <c r="BF352" s="500">
        <v>84652</v>
      </c>
      <c r="BG352" s="501">
        <f>450000-450000</f>
        <v>0</v>
      </c>
      <c r="BH352" s="502">
        <f>450000-450000</f>
        <v>0</v>
      </c>
      <c r="BI352" s="503"/>
      <c r="BJ352" s="501"/>
      <c r="BK352" s="504"/>
      <c r="BL352" s="500">
        <f>2931748-2000000</f>
        <v>931748</v>
      </c>
      <c r="BM352" s="501">
        <f>2000000-2000000</f>
        <v>0</v>
      </c>
      <c r="BN352" s="502">
        <f>2000000-2000000</f>
        <v>0</v>
      </c>
      <c r="BO352" s="503"/>
      <c r="BP352" s="501"/>
      <c r="BQ352" s="502"/>
      <c r="BR352" s="730">
        <f t="shared" si="104"/>
        <v>9626072</v>
      </c>
      <c r="BS352" s="731">
        <f t="shared" si="104"/>
        <v>7266255</v>
      </c>
      <c r="BT352" s="732">
        <f t="shared" si="104"/>
        <v>7694055</v>
      </c>
      <c r="BU352" s="503">
        <v>15800000</v>
      </c>
      <c r="BV352" s="501">
        <v>15800000</v>
      </c>
      <c r="BW352" s="504">
        <v>15800000</v>
      </c>
    </row>
    <row r="353" spans="1:75" s="733" customFormat="1" ht="36">
      <c r="A353" s="519" t="s">
        <v>16</v>
      </c>
      <c r="B353" s="521">
        <v>43</v>
      </c>
      <c r="C353" s="520" t="s">
        <v>27</v>
      </c>
      <c r="D353" s="521">
        <v>683110043</v>
      </c>
      <c r="E353" s="522" t="s">
        <v>29</v>
      </c>
      <c r="F353" s="523"/>
      <c r="G353" s="727">
        <f t="shared" si="102"/>
        <v>13500</v>
      </c>
      <c r="H353" s="728">
        <f t="shared" si="102"/>
        <v>13800</v>
      </c>
      <c r="I353" s="729">
        <f t="shared" si="102"/>
        <v>14010</v>
      </c>
      <c r="J353" s="500"/>
      <c r="K353" s="501"/>
      <c r="L353" s="502"/>
      <c r="M353" s="503">
        <v>1000</v>
      </c>
      <c r="N353" s="501">
        <v>1050</v>
      </c>
      <c r="O353" s="504">
        <v>1010</v>
      </c>
      <c r="P353" s="500"/>
      <c r="Q353" s="501"/>
      <c r="R353" s="502"/>
      <c r="S353" s="503"/>
      <c r="T353" s="501"/>
      <c r="U353" s="504"/>
      <c r="V353" s="500"/>
      <c r="W353" s="501"/>
      <c r="X353" s="504"/>
      <c r="Y353" s="505">
        <f t="shared" si="103"/>
        <v>1000</v>
      </c>
      <c r="Z353" s="506">
        <f t="shared" si="103"/>
        <v>1050</v>
      </c>
      <c r="AA353" s="507">
        <f t="shared" si="103"/>
        <v>1010</v>
      </c>
      <c r="AB353" s="500"/>
      <c r="AC353" s="501"/>
      <c r="AD353" s="502"/>
      <c r="AE353" s="503"/>
      <c r="AF353" s="501"/>
      <c r="AG353" s="504"/>
      <c r="AH353" s="500"/>
      <c r="AI353" s="501"/>
      <c r="AJ353" s="502"/>
      <c r="AK353" s="503"/>
      <c r="AL353" s="501"/>
      <c r="AM353" s="504"/>
      <c r="AN353" s="500"/>
      <c r="AO353" s="501"/>
      <c r="AP353" s="502"/>
      <c r="AQ353" s="503"/>
      <c r="AR353" s="501"/>
      <c r="AS353" s="504"/>
      <c r="AT353" s="500">
        <v>12500</v>
      </c>
      <c r="AU353" s="501">
        <v>12750</v>
      </c>
      <c r="AV353" s="502">
        <v>13000</v>
      </c>
      <c r="AW353" s="503"/>
      <c r="AX353" s="501"/>
      <c r="AY353" s="504"/>
      <c r="AZ353" s="500"/>
      <c r="BA353" s="501"/>
      <c r="BB353" s="502"/>
      <c r="BC353" s="503"/>
      <c r="BD353" s="501"/>
      <c r="BE353" s="504"/>
      <c r="BF353" s="500"/>
      <c r="BG353" s="501"/>
      <c r="BH353" s="502"/>
      <c r="BI353" s="503"/>
      <c r="BJ353" s="501"/>
      <c r="BK353" s="504"/>
      <c r="BL353" s="500"/>
      <c r="BM353" s="501"/>
      <c r="BN353" s="502"/>
      <c r="BO353" s="503"/>
      <c r="BP353" s="501"/>
      <c r="BQ353" s="502"/>
      <c r="BR353" s="730">
        <f t="shared" si="104"/>
        <v>13500</v>
      </c>
      <c r="BS353" s="731">
        <f t="shared" si="104"/>
        <v>13800</v>
      </c>
      <c r="BT353" s="732">
        <f t="shared" si="104"/>
        <v>14010</v>
      </c>
      <c r="BU353" s="503"/>
      <c r="BV353" s="501"/>
      <c r="BW353" s="504"/>
    </row>
    <row r="354" spans="1:75" s="733" customFormat="1" ht="36">
      <c r="A354" s="712" t="s">
        <v>16</v>
      </c>
      <c r="B354" s="713">
        <v>43</v>
      </c>
      <c r="C354" s="714" t="s">
        <v>27</v>
      </c>
      <c r="D354" s="713"/>
      <c r="E354" s="715" t="s">
        <v>692</v>
      </c>
      <c r="F354" s="716"/>
      <c r="G354" s="726">
        <f t="shared" ref="G354:AL354" si="105">SUM(G351:G353)</f>
        <v>91575551</v>
      </c>
      <c r="H354" s="718">
        <f t="shared" si="105"/>
        <v>93896342</v>
      </c>
      <c r="I354" s="719">
        <f t="shared" si="105"/>
        <v>95606550</v>
      </c>
      <c r="J354" s="720">
        <f t="shared" si="105"/>
        <v>5100000</v>
      </c>
      <c r="K354" s="718">
        <f t="shared" si="105"/>
        <v>5350000</v>
      </c>
      <c r="L354" s="734">
        <f t="shared" si="105"/>
        <v>5600000</v>
      </c>
      <c r="M354" s="726">
        <f t="shared" si="105"/>
        <v>1081300</v>
      </c>
      <c r="N354" s="718">
        <f t="shared" si="105"/>
        <v>1001050</v>
      </c>
      <c r="O354" s="719">
        <f t="shared" si="105"/>
        <v>1011210</v>
      </c>
      <c r="P354" s="720">
        <f t="shared" si="105"/>
        <v>150000</v>
      </c>
      <c r="Q354" s="718">
        <f t="shared" si="105"/>
        <v>150000</v>
      </c>
      <c r="R354" s="734">
        <f t="shared" si="105"/>
        <v>150000</v>
      </c>
      <c r="S354" s="726">
        <f t="shared" si="105"/>
        <v>531500</v>
      </c>
      <c r="T354" s="718">
        <f t="shared" si="105"/>
        <v>428400</v>
      </c>
      <c r="U354" s="719">
        <f t="shared" si="105"/>
        <v>431667</v>
      </c>
      <c r="V354" s="720">
        <f t="shared" si="105"/>
        <v>1323300</v>
      </c>
      <c r="W354" s="718">
        <f t="shared" si="105"/>
        <v>1575400</v>
      </c>
      <c r="X354" s="719">
        <f t="shared" si="105"/>
        <v>1599800</v>
      </c>
      <c r="Y354" s="726">
        <f t="shared" si="105"/>
        <v>8186100</v>
      </c>
      <c r="Z354" s="718">
        <f t="shared" si="105"/>
        <v>8504850</v>
      </c>
      <c r="AA354" s="719">
        <f t="shared" si="105"/>
        <v>8792677</v>
      </c>
      <c r="AB354" s="720">
        <f t="shared" si="105"/>
        <v>1904300</v>
      </c>
      <c r="AC354" s="718">
        <f t="shared" si="105"/>
        <v>1904300</v>
      </c>
      <c r="AD354" s="734">
        <f t="shared" si="105"/>
        <v>1904300</v>
      </c>
      <c r="AE354" s="726">
        <f t="shared" si="105"/>
        <v>7915820</v>
      </c>
      <c r="AF354" s="718">
        <f t="shared" si="105"/>
        <v>7700000</v>
      </c>
      <c r="AG354" s="719">
        <f t="shared" si="105"/>
        <v>7705000</v>
      </c>
      <c r="AH354" s="720">
        <f t="shared" si="105"/>
        <v>3980000</v>
      </c>
      <c r="AI354" s="718">
        <f t="shared" si="105"/>
        <v>3425150</v>
      </c>
      <c r="AJ354" s="734">
        <f t="shared" si="105"/>
        <v>3216155</v>
      </c>
      <c r="AK354" s="726">
        <f t="shared" si="105"/>
        <v>16550000</v>
      </c>
      <c r="AL354" s="718">
        <f t="shared" si="105"/>
        <v>16750000</v>
      </c>
      <c r="AM354" s="719">
        <f t="shared" ref="AM354:BW354" si="106">SUM(AM351:AM353)</f>
        <v>16880000</v>
      </c>
      <c r="AN354" s="720">
        <f t="shared" si="106"/>
        <v>4955000</v>
      </c>
      <c r="AO354" s="718">
        <f t="shared" si="106"/>
        <v>4955000</v>
      </c>
      <c r="AP354" s="734">
        <f t="shared" si="106"/>
        <v>4955000</v>
      </c>
      <c r="AQ354" s="726">
        <f t="shared" si="106"/>
        <v>2502052</v>
      </c>
      <c r="AR354" s="718">
        <f t="shared" si="106"/>
        <v>1963355</v>
      </c>
      <c r="AS354" s="719">
        <f t="shared" si="106"/>
        <v>1973355</v>
      </c>
      <c r="AT354" s="720">
        <f t="shared" si="106"/>
        <v>2730879</v>
      </c>
      <c r="AU354" s="718">
        <f t="shared" si="106"/>
        <v>3162750</v>
      </c>
      <c r="AV354" s="734">
        <f t="shared" si="106"/>
        <v>3213000</v>
      </c>
      <c r="AW354" s="726">
        <f t="shared" si="106"/>
        <v>3450000</v>
      </c>
      <c r="AX354" s="718">
        <f t="shared" si="106"/>
        <v>3557532</v>
      </c>
      <c r="AY354" s="719">
        <f t="shared" si="106"/>
        <v>3725025</v>
      </c>
      <c r="AZ354" s="720">
        <f t="shared" si="106"/>
        <v>350000</v>
      </c>
      <c r="BA354" s="718">
        <f t="shared" si="106"/>
        <v>418250</v>
      </c>
      <c r="BB354" s="734">
        <f t="shared" si="106"/>
        <v>420350</v>
      </c>
      <c r="BC354" s="726">
        <f t="shared" si="106"/>
        <v>515000</v>
      </c>
      <c r="BD354" s="718">
        <f t="shared" si="106"/>
        <v>566655</v>
      </c>
      <c r="BE354" s="719">
        <f t="shared" si="106"/>
        <v>571188</v>
      </c>
      <c r="BF354" s="720">
        <f t="shared" si="106"/>
        <v>6964652</v>
      </c>
      <c r="BG354" s="718">
        <f t="shared" si="106"/>
        <v>8500000</v>
      </c>
      <c r="BH354" s="734">
        <f t="shared" si="106"/>
        <v>9000000</v>
      </c>
      <c r="BI354" s="726">
        <f t="shared" si="106"/>
        <v>12035000</v>
      </c>
      <c r="BJ354" s="718">
        <f t="shared" si="106"/>
        <v>13843500</v>
      </c>
      <c r="BK354" s="719">
        <f t="shared" si="106"/>
        <v>14595500</v>
      </c>
      <c r="BL354" s="720">
        <f t="shared" si="106"/>
        <v>3036748</v>
      </c>
      <c r="BM354" s="718">
        <f t="shared" si="106"/>
        <v>2105000</v>
      </c>
      <c r="BN354" s="734">
        <f t="shared" si="106"/>
        <v>2105000</v>
      </c>
      <c r="BO354" s="726">
        <f t="shared" si="106"/>
        <v>700000</v>
      </c>
      <c r="BP354" s="718">
        <f t="shared" si="106"/>
        <v>740000</v>
      </c>
      <c r="BQ354" s="734">
        <f t="shared" si="106"/>
        <v>750000</v>
      </c>
      <c r="BR354" s="726">
        <f t="shared" si="106"/>
        <v>75775551</v>
      </c>
      <c r="BS354" s="718">
        <f t="shared" si="106"/>
        <v>78096342</v>
      </c>
      <c r="BT354" s="734">
        <f t="shared" si="106"/>
        <v>79806550</v>
      </c>
      <c r="BU354" s="726">
        <f t="shared" si="106"/>
        <v>15800000</v>
      </c>
      <c r="BV354" s="718">
        <f t="shared" si="106"/>
        <v>15800000</v>
      </c>
      <c r="BW354" s="719">
        <f t="shared" si="106"/>
        <v>15800000</v>
      </c>
    </row>
    <row r="355" spans="1:75" s="733" customFormat="1" ht="36">
      <c r="A355" s="519" t="s">
        <v>16</v>
      </c>
      <c r="B355" s="521">
        <v>51</v>
      </c>
      <c r="C355" s="520" t="s">
        <v>30</v>
      </c>
      <c r="D355" s="521">
        <v>632311700</v>
      </c>
      <c r="E355" s="522" t="s">
        <v>31</v>
      </c>
      <c r="F355" s="523"/>
      <c r="G355" s="727">
        <f>BR355+BU355</f>
        <v>1964354</v>
      </c>
      <c r="H355" s="728">
        <f>BS355+BV355</f>
        <v>362729</v>
      </c>
      <c r="I355" s="729">
        <f>BT355+BW355</f>
        <v>51583</v>
      </c>
      <c r="J355" s="500"/>
      <c r="K355" s="501"/>
      <c r="L355" s="502"/>
      <c r="M355" s="503"/>
      <c r="N355" s="501"/>
      <c r="O355" s="504"/>
      <c r="P355" s="500"/>
      <c r="Q355" s="501"/>
      <c r="R355" s="502"/>
      <c r="S355" s="503"/>
      <c r="T355" s="501"/>
      <c r="U355" s="504"/>
      <c r="V355" s="500"/>
      <c r="W355" s="501"/>
      <c r="X355" s="504"/>
      <c r="Y355" s="505">
        <f>J355+M355+P355+S355+V355</f>
        <v>0</v>
      </c>
      <c r="Z355" s="506">
        <f>K355+N355+Q355+T355+W355</f>
        <v>0</v>
      </c>
      <c r="AA355" s="507">
        <f>L355+O355+R355+U355+X355</f>
        <v>0</v>
      </c>
      <c r="AB355" s="500">
        <v>243450</v>
      </c>
      <c r="AC355" s="501">
        <v>162300</v>
      </c>
      <c r="AD355" s="502">
        <v>0</v>
      </c>
      <c r="AE355" s="503">
        <v>563809</v>
      </c>
      <c r="AF355" s="501">
        <v>18750</v>
      </c>
      <c r="AG355" s="504">
        <v>0</v>
      </c>
      <c r="AH355" s="500"/>
      <c r="AI355" s="501"/>
      <c r="AJ355" s="502"/>
      <c r="AK355" s="503"/>
      <c r="AL355" s="501"/>
      <c r="AM355" s="504"/>
      <c r="AN355" s="500">
        <v>1000000</v>
      </c>
      <c r="AO355" s="501">
        <v>50000</v>
      </c>
      <c r="AP355" s="502"/>
      <c r="AQ355" s="503"/>
      <c r="AR355" s="501"/>
      <c r="AS355" s="504"/>
      <c r="AT355" s="500"/>
      <c r="AU355" s="501"/>
      <c r="AV355" s="502"/>
      <c r="AW355" s="503">
        <f>227674-70579</f>
        <v>157095</v>
      </c>
      <c r="AX355" s="501">
        <v>66679</v>
      </c>
      <c r="AY355" s="504">
        <v>51583</v>
      </c>
      <c r="AZ355" s="500"/>
      <c r="BA355" s="501"/>
      <c r="BB355" s="502"/>
      <c r="BC355" s="503"/>
      <c r="BD355" s="501"/>
      <c r="BE355" s="504"/>
      <c r="BF355" s="500"/>
      <c r="BG355" s="501"/>
      <c r="BH355" s="502"/>
      <c r="BI355" s="503"/>
      <c r="BJ355" s="501">
        <v>65000</v>
      </c>
      <c r="BK355" s="504"/>
      <c r="BL355" s="500"/>
      <c r="BM355" s="501"/>
      <c r="BN355" s="502"/>
      <c r="BO355" s="503"/>
      <c r="BP355" s="501"/>
      <c r="BQ355" s="502"/>
      <c r="BR355" s="730">
        <f>AB355+AE355+AH355+AK355+AN355+AQ355+AT355+AW355+AZ355+BC355+BF355+BI355+BL355+BO355+Y355</f>
        <v>1964354</v>
      </c>
      <c r="BS355" s="731">
        <f>AC355+AF355+AI355+AL355+AO355+AR355+AU355+AX355+BA355+BD355+BG355+BJ355+BM355+BP355+Z355</f>
        <v>362729</v>
      </c>
      <c r="BT355" s="732">
        <f>AD355+AG355+AJ355+AM355+AP355+AS355+AV355+AY355+BB355+BE355+BH355+BK355+BN355+BQ355+AA355</f>
        <v>51583</v>
      </c>
      <c r="BU355" s="503"/>
      <c r="BV355" s="501"/>
      <c r="BW355" s="504"/>
    </row>
    <row r="356" spans="1:75" s="733" customFormat="1">
      <c r="A356" s="712" t="s">
        <v>16</v>
      </c>
      <c r="B356" s="713">
        <v>51</v>
      </c>
      <c r="C356" s="714" t="s">
        <v>30</v>
      </c>
      <c r="D356" s="713"/>
      <c r="E356" s="715" t="s">
        <v>692</v>
      </c>
      <c r="F356" s="716"/>
      <c r="G356" s="726">
        <f t="shared" ref="G356:AL356" si="107">SUM(G355:G355)</f>
        <v>1964354</v>
      </c>
      <c r="H356" s="718">
        <f t="shared" si="107"/>
        <v>362729</v>
      </c>
      <c r="I356" s="719">
        <f t="shared" si="107"/>
        <v>51583</v>
      </c>
      <c r="J356" s="720">
        <f t="shared" si="107"/>
        <v>0</v>
      </c>
      <c r="K356" s="718">
        <f t="shared" si="107"/>
        <v>0</v>
      </c>
      <c r="L356" s="734">
        <f t="shared" si="107"/>
        <v>0</v>
      </c>
      <c r="M356" s="726">
        <f t="shared" si="107"/>
        <v>0</v>
      </c>
      <c r="N356" s="718">
        <f t="shared" si="107"/>
        <v>0</v>
      </c>
      <c r="O356" s="719">
        <f t="shared" si="107"/>
        <v>0</v>
      </c>
      <c r="P356" s="720">
        <f t="shared" si="107"/>
        <v>0</v>
      </c>
      <c r="Q356" s="718">
        <f t="shared" si="107"/>
        <v>0</v>
      </c>
      <c r="R356" s="734">
        <f t="shared" si="107"/>
        <v>0</v>
      </c>
      <c r="S356" s="726">
        <f t="shared" si="107"/>
        <v>0</v>
      </c>
      <c r="T356" s="718">
        <f t="shared" si="107"/>
        <v>0</v>
      </c>
      <c r="U356" s="719">
        <f t="shared" si="107"/>
        <v>0</v>
      </c>
      <c r="V356" s="720">
        <f t="shared" si="107"/>
        <v>0</v>
      </c>
      <c r="W356" s="718">
        <f t="shared" si="107"/>
        <v>0</v>
      </c>
      <c r="X356" s="719">
        <f t="shared" si="107"/>
        <v>0</v>
      </c>
      <c r="Y356" s="726">
        <f t="shared" si="107"/>
        <v>0</v>
      </c>
      <c r="Z356" s="718">
        <f t="shared" si="107"/>
        <v>0</v>
      </c>
      <c r="AA356" s="719">
        <f t="shared" si="107"/>
        <v>0</v>
      </c>
      <c r="AB356" s="720">
        <f t="shared" si="107"/>
        <v>243450</v>
      </c>
      <c r="AC356" s="718">
        <f t="shared" si="107"/>
        <v>162300</v>
      </c>
      <c r="AD356" s="734">
        <f t="shared" si="107"/>
        <v>0</v>
      </c>
      <c r="AE356" s="726">
        <f t="shared" si="107"/>
        <v>563809</v>
      </c>
      <c r="AF356" s="718">
        <f t="shared" si="107"/>
        <v>18750</v>
      </c>
      <c r="AG356" s="719">
        <f t="shared" si="107"/>
        <v>0</v>
      </c>
      <c r="AH356" s="720">
        <f t="shared" si="107"/>
        <v>0</v>
      </c>
      <c r="AI356" s="718">
        <f t="shared" si="107"/>
        <v>0</v>
      </c>
      <c r="AJ356" s="734">
        <f t="shared" si="107"/>
        <v>0</v>
      </c>
      <c r="AK356" s="726">
        <f t="shared" si="107"/>
        <v>0</v>
      </c>
      <c r="AL356" s="718">
        <f t="shared" si="107"/>
        <v>0</v>
      </c>
      <c r="AM356" s="719">
        <f t="shared" ref="AM356:BW356" si="108">SUM(AM355:AM355)</f>
        <v>0</v>
      </c>
      <c r="AN356" s="720">
        <f t="shared" si="108"/>
        <v>1000000</v>
      </c>
      <c r="AO356" s="718">
        <f t="shared" si="108"/>
        <v>50000</v>
      </c>
      <c r="AP356" s="734">
        <f t="shared" si="108"/>
        <v>0</v>
      </c>
      <c r="AQ356" s="726">
        <f t="shared" si="108"/>
        <v>0</v>
      </c>
      <c r="AR356" s="718">
        <f t="shared" si="108"/>
        <v>0</v>
      </c>
      <c r="AS356" s="719">
        <f t="shared" si="108"/>
        <v>0</v>
      </c>
      <c r="AT356" s="720">
        <f t="shared" si="108"/>
        <v>0</v>
      </c>
      <c r="AU356" s="718">
        <f t="shared" si="108"/>
        <v>0</v>
      </c>
      <c r="AV356" s="734">
        <f t="shared" si="108"/>
        <v>0</v>
      </c>
      <c r="AW356" s="726">
        <f t="shared" si="108"/>
        <v>157095</v>
      </c>
      <c r="AX356" s="718">
        <f t="shared" si="108"/>
        <v>66679</v>
      </c>
      <c r="AY356" s="719">
        <f t="shared" si="108"/>
        <v>51583</v>
      </c>
      <c r="AZ356" s="720">
        <f t="shared" si="108"/>
        <v>0</v>
      </c>
      <c r="BA356" s="718">
        <f t="shared" si="108"/>
        <v>0</v>
      </c>
      <c r="BB356" s="734">
        <f t="shared" si="108"/>
        <v>0</v>
      </c>
      <c r="BC356" s="726">
        <f t="shared" si="108"/>
        <v>0</v>
      </c>
      <c r="BD356" s="718">
        <f t="shared" si="108"/>
        <v>0</v>
      </c>
      <c r="BE356" s="719">
        <f t="shared" si="108"/>
        <v>0</v>
      </c>
      <c r="BF356" s="720">
        <f t="shared" si="108"/>
        <v>0</v>
      </c>
      <c r="BG356" s="718">
        <f t="shared" si="108"/>
        <v>0</v>
      </c>
      <c r="BH356" s="734">
        <f t="shared" si="108"/>
        <v>0</v>
      </c>
      <c r="BI356" s="726">
        <f t="shared" si="108"/>
        <v>0</v>
      </c>
      <c r="BJ356" s="718">
        <f t="shared" si="108"/>
        <v>65000</v>
      </c>
      <c r="BK356" s="719">
        <f t="shared" si="108"/>
        <v>0</v>
      </c>
      <c r="BL356" s="720">
        <f t="shared" si="108"/>
        <v>0</v>
      </c>
      <c r="BM356" s="718">
        <f t="shared" si="108"/>
        <v>0</v>
      </c>
      <c r="BN356" s="734">
        <f t="shared" si="108"/>
        <v>0</v>
      </c>
      <c r="BO356" s="726">
        <f t="shared" si="108"/>
        <v>0</v>
      </c>
      <c r="BP356" s="718">
        <f t="shared" si="108"/>
        <v>0</v>
      </c>
      <c r="BQ356" s="734">
        <f t="shared" si="108"/>
        <v>0</v>
      </c>
      <c r="BR356" s="726">
        <f t="shared" si="108"/>
        <v>1964354</v>
      </c>
      <c r="BS356" s="718">
        <f t="shared" si="108"/>
        <v>362729</v>
      </c>
      <c r="BT356" s="734">
        <f t="shared" si="108"/>
        <v>51583</v>
      </c>
      <c r="BU356" s="726">
        <f t="shared" si="108"/>
        <v>0</v>
      </c>
      <c r="BV356" s="718">
        <f t="shared" si="108"/>
        <v>0</v>
      </c>
      <c r="BW356" s="719">
        <f t="shared" si="108"/>
        <v>0</v>
      </c>
    </row>
    <row r="357" spans="1:75" s="733" customFormat="1" ht="36">
      <c r="A357" s="519" t="s">
        <v>16</v>
      </c>
      <c r="B357" s="521">
        <v>52</v>
      </c>
      <c r="C357" s="520" t="s">
        <v>32</v>
      </c>
      <c r="D357" s="521">
        <v>631120000</v>
      </c>
      <c r="E357" s="522" t="s">
        <v>33</v>
      </c>
      <c r="F357" s="523"/>
      <c r="G357" s="727">
        <f t="shared" ref="G357:I364" si="109">BR357+BU357</f>
        <v>65000</v>
      </c>
      <c r="H357" s="728">
        <f t="shared" si="109"/>
        <v>85000</v>
      </c>
      <c r="I357" s="729">
        <f t="shared" si="109"/>
        <v>15000</v>
      </c>
      <c r="J357" s="500">
        <v>15000</v>
      </c>
      <c r="K357" s="501">
        <v>15000</v>
      </c>
      <c r="L357" s="502">
        <v>15000</v>
      </c>
      <c r="M357" s="503"/>
      <c r="N357" s="501"/>
      <c r="O357" s="504"/>
      <c r="P357" s="500"/>
      <c r="Q357" s="501"/>
      <c r="R357" s="502"/>
      <c r="S357" s="503"/>
      <c r="T357" s="501"/>
      <c r="U357" s="504"/>
      <c r="V357" s="500"/>
      <c r="W357" s="501"/>
      <c r="X357" s="504"/>
      <c r="Y357" s="505">
        <f t="shared" ref="Y357:AA364" si="110">J357+M357+P357+S357+V357</f>
        <v>15000</v>
      </c>
      <c r="Z357" s="506">
        <f t="shared" si="110"/>
        <v>15000</v>
      </c>
      <c r="AA357" s="507">
        <f t="shared" si="110"/>
        <v>15000</v>
      </c>
      <c r="AB357" s="500"/>
      <c r="AC357" s="501"/>
      <c r="AD357" s="502"/>
      <c r="AE357" s="503"/>
      <c r="AF357" s="501"/>
      <c r="AG357" s="504"/>
      <c r="AH357" s="500"/>
      <c r="AI357" s="501"/>
      <c r="AJ357" s="502"/>
      <c r="AK357" s="503"/>
      <c r="AL357" s="501"/>
      <c r="AM357" s="504"/>
      <c r="AN357" s="500"/>
      <c r="AO357" s="501"/>
      <c r="AP357" s="502"/>
      <c r="AQ357" s="503"/>
      <c r="AR357" s="501"/>
      <c r="AS357" s="504"/>
      <c r="AT357" s="500"/>
      <c r="AU357" s="501"/>
      <c r="AV357" s="502"/>
      <c r="AW357" s="503"/>
      <c r="AX357" s="501"/>
      <c r="AY357" s="504"/>
      <c r="AZ357" s="500"/>
      <c r="BA357" s="501"/>
      <c r="BB357" s="502"/>
      <c r="BC357" s="503"/>
      <c r="BD357" s="501"/>
      <c r="BE357" s="504"/>
      <c r="BF357" s="500"/>
      <c r="BG357" s="501"/>
      <c r="BH357" s="502"/>
      <c r="BI357" s="503"/>
      <c r="BJ357" s="501"/>
      <c r="BK357" s="504"/>
      <c r="BL357" s="500"/>
      <c r="BM357" s="501"/>
      <c r="BN357" s="502"/>
      <c r="BO357" s="503">
        <v>50000</v>
      </c>
      <c r="BP357" s="501">
        <v>70000</v>
      </c>
      <c r="BQ357" s="502"/>
      <c r="BR357" s="730">
        <f t="shared" ref="BR357:BT364" si="111">AB357+AE357+AH357+AK357+AN357+AQ357+AT357+AW357+AZ357+BC357+BF357+BI357+BL357+BO357+Y357</f>
        <v>65000</v>
      </c>
      <c r="BS357" s="731">
        <f t="shared" si="111"/>
        <v>85000</v>
      </c>
      <c r="BT357" s="732">
        <f t="shared" si="111"/>
        <v>15000</v>
      </c>
      <c r="BU357" s="503"/>
      <c r="BV357" s="501"/>
      <c r="BW357" s="504"/>
    </row>
    <row r="358" spans="1:75" s="733" customFormat="1" ht="48">
      <c r="A358" s="519" t="s">
        <v>16</v>
      </c>
      <c r="B358" s="521">
        <v>52</v>
      </c>
      <c r="C358" s="520" t="s">
        <v>32</v>
      </c>
      <c r="D358" s="521">
        <v>6341</v>
      </c>
      <c r="E358" s="522" t="s">
        <v>34</v>
      </c>
      <c r="F358" s="523"/>
      <c r="G358" s="727">
        <f t="shared" si="109"/>
        <v>666586</v>
      </c>
      <c r="H358" s="728">
        <f t="shared" si="109"/>
        <v>80000</v>
      </c>
      <c r="I358" s="729">
        <f t="shared" si="109"/>
        <v>0</v>
      </c>
      <c r="J358" s="500"/>
      <c r="K358" s="501"/>
      <c r="L358" s="502"/>
      <c r="M358" s="503">
        <f>723077-56491</f>
        <v>666586</v>
      </c>
      <c r="N358" s="501">
        <v>80000</v>
      </c>
      <c r="O358" s="504">
        <v>0</v>
      </c>
      <c r="P358" s="500"/>
      <c r="Q358" s="501"/>
      <c r="R358" s="502"/>
      <c r="S358" s="503"/>
      <c r="T358" s="501"/>
      <c r="U358" s="504"/>
      <c r="V358" s="500"/>
      <c r="W358" s="501"/>
      <c r="X358" s="504"/>
      <c r="Y358" s="505">
        <f t="shared" si="110"/>
        <v>666586</v>
      </c>
      <c r="Z358" s="506">
        <f t="shared" si="110"/>
        <v>80000</v>
      </c>
      <c r="AA358" s="507">
        <f t="shared" si="110"/>
        <v>0</v>
      </c>
      <c r="AB358" s="500"/>
      <c r="AC358" s="501"/>
      <c r="AD358" s="502"/>
      <c r="AE358" s="503"/>
      <c r="AF358" s="501"/>
      <c r="AG358" s="504"/>
      <c r="AH358" s="500"/>
      <c r="AI358" s="501"/>
      <c r="AJ358" s="502"/>
      <c r="AK358" s="503"/>
      <c r="AL358" s="501"/>
      <c r="AM358" s="504"/>
      <c r="AN358" s="500"/>
      <c r="AO358" s="501"/>
      <c r="AP358" s="502"/>
      <c r="AQ358" s="503"/>
      <c r="AR358" s="501"/>
      <c r="AS358" s="504"/>
      <c r="AT358" s="500"/>
      <c r="AU358" s="501"/>
      <c r="AV358" s="502"/>
      <c r="AW358" s="503"/>
      <c r="AX358" s="501"/>
      <c r="AY358" s="504"/>
      <c r="AZ358" s="500"/>
      <c r="BA358" s="501"/>
      <c r="BB358" s="502"/>
      <c r="BC358" s="503"/>
      <c r="BD358" s="501"/>
      <c r="BE358" s="504"/>
      <c r="BF358" s="500"/>
      <c r="BG358" s="501"/>
      <c r="BH358" s="502"/>
      <c r="BI358" s="503"/>
      <c r="BJ358" s="501"/>
      <c r="BK358" s="504"/>
      <c r="BL358" s="500"/>
      <c r="BM358" s="501"/>
      <c r="BN358" s="502"/>
      <c r="BO358" s="503"/>
      <c r="BP358" s="501"/>
      <c r="BQ358" s="502"/>
      <c r="BR358" s="730">
        <f t="shared" si="111"/>
        <v>666586</v>
      </c>
      <c r="BS358" s="731">
        <f t="shared" si="111"/>
        <v>80000</v>
      </c>
      <c r="BT358" s="732">
        <f t="shared" si="111"/>
        <v>0</v>
      </c>
      <c r="BU358" s="503"/>
      <c r="BV358" s="501"/>
      <c r="BW358" s="504"/>
    </row>
    <row r="359" spans="1:75" s="733" customFormat="1" ht="60">
      <c r="A359" s="519" t="s">
        <v>16</v>
      </c>
      <c r="B359" s="521">
        <v>52</v>
      </c>
      <c r="C359" s="520" t="s">
        <v>32</v>
      </c>
      <c r="D359" s="521">
        <v>6361</v>
      </c>
      <c r="E359" s="522" t="s">
        <v>35</v>
      </c>
      <c r="F359" s="523"/>
      <c r="G359" s="727">
        <f t="shared" si="109"/>
        <v>3338628</v>
      </c>
      <c r="H359" s="728">
        <f t="shared" si="109"/>
        <v>3692450</v>
      </c>
      <c r="I359" s="729">
        <f t="shared" si="109"/>
        <v>3475000</v>
      </c>
      <c r="J359" s="500"/>
      <c r="K359" s="501"/>
      <c r="L359" s="502"/>
      <c r="M359" s="503"/>
      <c r="N359" s="501"/>
      <c r="O359" s="504"/>
      <c r="P359" s="500"/>
      <c r="Q359" s="501"/>
      <c r="R359" s="502"/>
      <c r="S359" s="503">
        <v>411054</v>
      </c>
      <c r="T359" s="501">
        <v>269450</v>
      </c>
      <c r="U359" s="504">
        <v>0</v>
      </c>
      <c r="V359" s="500"/>
      <c r="W359" s="501"/>
      <c r="X359" s="504"/>
      <c r="Y359" s="505">
        <f t="shared" si="110"/>
        <v>411054</v>
      </c>
      <c r="Z359" s="506">
        <f t="shared" si="110"/>
        <v>269450</v>
      </c>
      <c r="AA359" s="507">
        <f t="shared" si="110"/>
        <v>0</v>
      </c>
      <c r="AB359" s="500"/>
      <c r="AC359" s="501"/>
      <c r="AD359" s="502"/>
      <c r="AE359" s="503"/>
      <c r="AF359" s="501"/>
      <c r="AG359" s="504"/>
      <c r="AH359" s="500"/>
      <c r="AI359" s="501"/>
      <c r="AJ359" s="502"/>
      <c r="AK359" s="503">
        <v>395000</v>
      </c>
      <c r="AL359" s="501">
        <v>405000</v>
      </c>
      <c r="AM359" s="504">
        <v>425000</v>
      </c>
      <c r="AN359" s="500"/>
      <c r="AO359" s="501"/>
      <c r="AP359" s="502"/>
      <c r="AQ359" s="503"/>
      <c r="AR359" s="501"/>
      <c r="AS359" s="504"/>
      <c r="AT359" s="500"/>
      <c r="AU359" s="501"/>
      <c r="AV359" s="502"/>
      <c r="AW359" s="503"/>
      <c r="AX359" s="501"/>
      <c r="AY359" s="504"/>
      <c r="AZ359" s="500">
        <v>30000</v>
      </c>
      <c r="BA359" s="501">
        <v>30000</v>
      </c>
      <c r="BB359" s="502">
        <v>30000</v>
      </c>
      <c r="BC359" s="503"/>
      <c r="BD359" s="501"/>
      <c r="BE359" s="504"/>
      <c r="BF359" s="500">
        <v>100000</v>
      </c>
      <c r="BG359" s="501">
        <v>100000</v>
      </c>
      <c r="BH359" s="502">
        <v>100000</v>
      </c>
      <c r="BI359" s="503"/>
      <c r="BJ359" s="501"/>
      <c r="BK359" s="504"/>
      <c r="BL359" s="500">
        <v>90000</v>
      </c>
      <c r="BM359" s="501">
        <v>90000</v>
      </c>
      <c r="BN359" s="502">
        <v>90000</v>
      </c>
      <c r="BO359" s="503">
        <f>2743000-430426</f>
        <v>2312574</v>
      </c>
      <c r="BP359" s="501">
        <v>2798000</v>
      </c>
      <c r="BQ359" s="502">
        <v>2830000</v>
      </c>
      <c r="BR359" s="730">
        <f t="shared" si="111"/>
        <v>3338628</v>
      </c>
      <c r="BS359" s="731">
        <f t="shared" si="111"/>
        <v>3692450</v>
      </c>
      <c r="BT359" s="732">
        <f t="shared" si="111"/>
        <v>3475000</v>
      </c>
      <c r="BU359" s="503"/>
      <c r="BV359" s="501"/>
      <c r="BW359" s="504"/>
    </row>
    <row r="360" spans="1:75" s="738" customFormat="1" ht="36">
      <c r="A360" s="519" t="s">
        <v>16</v>
      </c>
      <c r="B360" s="521">
        <v>52</v>
      </c>
      <c r="C360" s="520" t="s">
        <v>32</v>
      </c>
      <c r="D360" s="521">
        <v>6381</v>
      </c>
      <c r="E360" s="522" t="s">
        <v>694</v>
      </c>
      <c r="F360" s="523"/>
      <c r="G360" s="727">
        <f t="shared" si="109"/>
        <v>740415</v>
      </c>
      <c r="H360" s="728">
        <f t="shared" si="109"/>
        <v>263158</v>
      </c>
      <c r="I360" s="729">
        <f t="shared" si="109"/>
        <v>0</v>
      </c>
      <c r="J360" s="615"/>
      <c r="K360" s="616"/>
      <c r="L360" s="617"/>
      <c r="M360" s="618"/>
      <c r="N360" s="616"/>
      <c r="O360" s="619"/>
      <c r="P360" s="615"/>
      <c r="Q360" s="616"/>
      <c r="R360" s="617"/>
      <c r="S360" s="618"/>
      <c r="T360" s="616"/>
      <c r="U360" s="619"/>
      <c r="V360" s="615"/>
      <c r="W360" s="616"/>
      <c r="X360" s="619"/>
      <c r="Y360" s="505">
        <f t="shared" si="110"/>
        <v>0</v>
      </c>
      <c r="Z360" s="506">
        <f t="shared" si="110"/>
        <v>0</v>
      </c>
      <c r="AA360" s="507">
        <f t="shared" si="110"/>
        <v>0</v>
      </c>
      <c r="AB360" s="615"/>
      <c r="AC360" s="616"/>
      <c r="AD360" s="617"/>
      <c r="AE360" s="618">
        <v>100000</v>
      </c>
      <c r="AF360" s="616">
        <v>263158</v>
      </c>
      <c r="AG360" s="619">
        <v>0</v>
      </c>
      <c r="AH360" s="615"/>
      <c r="AI360" s="616"/>
      <c r="AJ360" s="617"/>
      <c r="AK360" s="618"/>
      <c r="AL360" s="616"/>
      <c r="AM360" s="619"/>
      <c r="AN360" s="615"/>
      <c r="AO360" s="616"/>
      <c r="AP360" s="617"/>
      <c r="AQ360" s="618">
        <v>640415</v>
      </c>
      <c r="AR360" s="616"/>
      <c r="AS360" s="619"/>
      <c r="AT360" s="615"/>
      <c r="AU360" s="616"/>
      <c r="AV360" s="617"/>
      <c r="AW360" s="618"/>
      <c r="AX360" s="616"/>
      <c r="AY360" s="619"/>
      <c r="AZ360" s="615"/>
      <c r="BA360" s="616"/>
      <c r="BB360" s="617"/>
      <c r="BC360" s="618"/>
      <c r="BD360" s="616"/>
      <c r="BE360" s="619"/>
      <c r="BF360" s="615"/>
      <c r="BG360" s="616"/>
      <c r="BH360" s="617"/>
      <c r="BI360" s="618"/>
      <c r="BJ360" s="616"/>
      <c r="BK360" s="619"/>
      <c r="BL360" s="615"/>
      <c r="BM360" s="616"/>
      <c r="BN360" s="617"/>
      <c r="BO360" s="618"/>
      <c r="BP360" s="616"/>
      <c r="BQ360" s="617"/>
      <c r="BR360" s="730">
        <f t="shared" si="111"/>
        <v>740415</v>
      </c>
      <c r="BS360" s="731">
        <f t="shared" si="111"/>
        <v>263158</v>
      </c>
      <c r="BT360" s="732">
        <f t="shared" si="111"/>
        <v>0</v>
      </c>
      <c r="BU360" s="618"/>
      <c r="BV360" s="616"/>
      <c r="BW360" s="619"/>
    </row>
    <row r="361" spans="1:75" s="733" customFormat="1" ht="48">
      <c r="A361" s="519" t="s">
        <v>16</v>
      </c>
      <c r="B361" s="521">
        <v>52</v>
      </c>
      <c r="C361" s="520" t="s">
        <v>32</v>
      </c>
      <c r="D361" s="521">
        <v>6391</v>
      </c>
      <c r="E361" s="522" t="s">
        <v>36</v>
      </c>
      <c r="F361" s="523"/>
      <c r="G361" s="727">
        <f t="shared" si="109"/>
        <v>10092151</v>
      </c>
      <c r="H361" s="728">
        <f t="shared" si="109"/>
        <v>2430000</v>
      </c>
      <c r="I361" s="729">
        <f t="shared" si="109"/>
        <v>2430000</v>
      </c>
      <c r="J361" s="500">
        <v>350000</v>
      </c>
      <c r="K361" s="501">
        <v>350000</v>
      </c>
      <c r="L361" s="502">
        <v>350000</v>
      </c>
      <c r="M361" s="503"/>
      <c r="N361" s="501"/>
      <c r="O361" s="504"/>
      <c r="P361" s="500"/>
      <c r="Q361" s="501"/>
      <c r="R361" s="502"/>
      <c r="S361" s="503">
        <v>41637</v>
      </c>
      <c r="T361" s="501">
        <v>0</v>
      </c>
      <c r="U361" s="504">
        <v>0</v>
      </c>
      <c r="V361" s="500">
        <v>45094</v>
      </c>
      <c r="W361" s="501">
        <v>0</v>
      </c>
      <c r="X361" s="504">
        <v>0</v>
      </c>
      <c r="Y361" s="505">
        <f t="shared" si="110"/>
        <v>436731</v>
      </c>
      <c r="Z361" s="506">
        <f t="shared" si="110"/>
        <v>350000</v>
      </c>
      <c r="AA361" s="507">
        <f t="shared" si="110"/>
        <v>350000</v>
      </c>
      <c r="AB361" s="500"/>
      <c r="AC361" s="501"/>
      <c r="AD361" s="502"/>
      <c r="AE361" s="503">
        <v>8621</v>
      </c>
      <c r="AF361" s="501"/>
      <c r="AG361" s="504"/>
      <c r="AH361" s="500">
        <v>5265500</v>
      </c>
      <c r="AI361" s="501"/>
      <c r="AJ361" s="502"/>
      <c r="AK361" s="503"/>
      <c r="AL361" s="501"/>
      <c r="AM361" s="504"/>
      <c r="AN361" s="500">
        <v>34500</v>
      </c>
      <c r="AO361" s="501"/>
      <c r="AP361" s="502"/>
      <c r="AQ361" s="503">
        <v>3004</v>
      </c>
      <c r="AR361" s="501"/>
      <c r="AS361" s="504"/>
      <c r="AT361" s="500"/>
      <c r="AU361" s="501"/>
      <c r="AV361" s="502"/>
      <c r="AW361" s="503"/>
      <c r="AX361" s="501"/>
      <c r="AY361" s="504"/>
      <c r="AZ361" s="500">
        <f>80000-19943</f>
        <v>60057</v>
      </c>
      <c r="BA361" s="501">
        <v>80000</v>
      </c>
      <c r="BB361" s="502">
        <v>80000</v>
      </c>
      <c r="BC361" s="503"/>
      <c r="BD361" s="501"/>
      <c r="BE361" s="504"/>
      <c r="BF361" s="500">
        <f>437227</f>
        <v>437227</v>
      </c>
      <c r="BG361" s="501">
        <v>0</v>
      </c>
      <c r="BH361" s="502">
        <v>0</v>
      </c>
      <c r="BI361" s="503">
        <v>95000</v>
      </c>
      <c r="BJ361" s="501"/>
      <c r="BK361" s="504"/>
      <c r="BL361" s="500">
        <f>2700000+51511+1000000</f>
        <v>3751511</v>
      </c>
      <c r="BM361" s="501">
        <v>2000000</v>
      </c>
      <c r="BN361" s="502">
        <v>2000000</v>
      </c>
      <c r="BO361" s="503"/>
      <c r="BP361" s="501"/>
      <c r="BQ361" s="502"/>
      <c r="BR361" s="730">
        <f t="shared" si="111"/>
        <v>10092151</v>
      </c>
      <c r="BS361" s="731">
        <f t="shared" si="111"/>
        <v>2430000</v>
      </c>
      <c r="BT361" s="732">
        <f t="shared" si="111"/>
        <v>2430000</v>
      </c>
      <c r="BU361" s="503"/>
      <c r="BV361" s="501"/>
      <c r="BW361" s="504"/>
    </row>
    <row r="362" spans="1:75" s="733" customFormat="1" ht="72">
      <c r="A362" s="519" t="s">
        <v>16</v>
      </c>
      <c r="B362" s="521">
        <v>52</v>
      </c>
      <c r="C362" s="520" t="s">
        <v>32</v>
      </c>
      <c r="D362" s="521">
        <v>6393</v>
      </c>
      <c r="E362" s="522" t="s">
        <v>37</v>
      </c>
      <c r="F362" s="523"/>
      <c r="G362" s="727">
        <f t="shared" si="109"/>
        <v>10377580</v>
      </c>
      <c r="H362" s="728">
        <f t="shared" si="109"/>
        <v>4387589</v>
      </c>
      <c r="I362" s="729">
        <f t="shared" si="109"/>
        <v>2847120</v>
      </c>
      <c r="J362" s="500"/>
      <c r="K362" s="501"/>
      <c r="L362" s="502"/>
      <c r="M362" s="503">
        <v>56491</v>
      </c>
      <c r="N362" s="501">
        <v>192800</v>
      </c>
      <c r="O362" s="504">
        <v>0</v>
      </c>
      <c r="P362" s="500"/>
      <c r="Q362" s="501"/>
      <c r="R362" s="502"/>
      <c r="S362" s="503"/>
      <c r="T362" s="501"/>
      <c r="U362" s="504"/>
      <c r="V362" s="500"/>
      <c r="W362" s="501"/>
      <c r="X362" s="504"/>
      <c r="Y362" s="505">
        <f t="shared" si="110"/>
        <v>56491</v>
      </c>
      <c r="Z362" s="506">
        <f t="shared" si="110"/>
        <v>192800</v>
      </c>
      <c r="AA362" s="507">
        <f t="shared" si="110"/>
        <v>0</v>
      </c>
      <c r="AB362" s="500"/>
      <c r="AC362" s="501"/>
      <c r="AD362" s="502"/>
      <c r="AE362" s="503">
        <v>419352</v>
      </c>
      <c r="AF362" s="501">
        <v>139200</v>
      </c>
      <c r="AG362" s="504">
        <v>15000</v>
      </c>
      <c r="AH362" s="500">
        <v>4271701</v>
      </c>
      <c r="AI362" s="501">
        <v>492000</v>
      </c>
      <c r="AJ362" s="502">
        <v>35000</v>
      </c>
      <c r="AK362" s="503"/>
      <c r="AL362" s="501"/>
      <c r="AM362" s="504"/>
      <c r="AN362" s="500">
        <v>1340873</v>
      </c>
      <c r="AO362" s="501">
        <v>1121000</v>
      </c>
      <c r="AP362" s="502">
        <v>955000</v>
      </c>
      <c r="AQ362" s="503">
        <f>17025+324948</f>
        <v>341973</v>
      </c>
      <c r="AR362" s="501">
        <v>871645</v>
      </c>
      <c r="AS362" s="504">
        <v>871645</v>
      </c>
      <c r="AT362" s="500">
        <f>13251-5765</f>
        <v>7486</v>
      </c>
      <c r="AU362" s="501"/>
      <c r="AV362" s="502"/>
      <c r="AW362" s="503">
        <v>1066026</v>
      </c>
      <c r="AX362" s="501">
        <v>542468</v>
      </c>
      <c r="AY362" s="504">
        <v>374975</v>
      </c>
      <c r="AZ362" s="500"/>
      <c r="BA362" s="501"/>
      <c r="BB362" s="502"/>
      <c r="BC362" s="503"/>
      <c r="BD362" s="501"/>
      <c r="BE362" s="504"/>
      <c r="BF362" s="500">
        <f>2471352-962970</f>
        <v>1508382</v>
      </c>
      <c r="BG362" s="501">
        <v>450000</v>
      </c>
      <c r="BH362" s="502">
        <v>450000</v>
      </c>
      <c r="BI362" s="503"/>
      <c r="BJ362" s="501">
        <f>433000+145476</f>
        <v>578476</v>
      </c>
      <c r="BK362" s="504">
        <v>145500</v>
      </c>
      <c r="BL362" s="500">
        <f>291894+585000+488402</f>
        <v>1365296</v>
      </c>
      <c r="BM362" s="501"/>
      <c r="BN362" s="502"/>
      <c r="BO362" s="503"/>
      <c r="BP362" s="501"/>
      <c r="BQ362" s="502"/>
      <c r="BR362" s="730">
        <f t="shared" si="111"/>
        <v>10377580</v>
      </c>
      <c r="BS362" s="731">
        <f t="shared" si="111"/>
        <v>4387589</v>
      </c>
      <c r="BT362" s="732">
        <f t="shared" si="111"/>
        <v>2847120</v>
      </c>
      <c r="BU362" s="503"/>
      <c r="BV362" s="501"/>
      <c r="BW362" s="504"/>
    </row>
    <row r="363" spans="1:75" s="733" customFormat="1" ht="72">
      <c r="A363" s="519" t="s">
        <v>16</v>
      </c>
      <c r="B363" s="521">
        <v>52</v>
      </c>
      <c r="C363" s="520" t="s">
        <v>722</v>
      </c>
      <c r="D363" s="521">
        <v>6394</v>
      </c>
      <c r="E363" s="522" t="s">
        <v>723</v>
      </c>
      <c r="F363" s="523"/>
      <c r="G363" s="727">
        <f t="shared" si="109"/>
        <v>1609500</v>
      </c>
      <c r="H363" s="728">
        <f t="shared" si="109"/>
        <v>518000</v>
      </c>
      <c r="I363" s="729">
        <f t="shared" si="109"/>
        <v>35000</v>
      </c>
      <c r="J363" s="500"/>
      <c r="K363" s="501"/>
      <c r="L363" s="502"/>
      <c r="M363" s="503"/>
      <c r="N363" s="501">
        <v>317200</v>
      </c>
      <c r="O363" s="504">
        <v>0</v>
      </c>
      <c r="P363" s="500"/>
      <c r="Q363" s="501"/>
      <c r="R363" s="502"/>
      <c r="S363" s="503"/>
      <c r="T363" s="501"/>
      <c r="U363" s="504"/>
      <c r="V363" s="500"/>
      <c r="W363" s="501"/>
      <c r="X363" s="504"/>
      <c r="Y363" s="505">
        <f t="shared" si="110"/>
        <v>0</v>
      </c>
      <c r="Z363" s="506">
        <f t="shared" si="110"/>
        <v>317200</v>
      </c>
      <c r="AA363" s="507">
        <f t="shared" si="110"/>
        <v>0</v>
      </c>
      <c r="AB363" s="500"/>
      <c r="AC363" s="501"/>
      <c r="AD363" s="502"/>
      <c r="AE363" s="503">
        <v>1579500</v>
      </c>
      <c r="AF363" s="501">
        <v>200800</v>
      </c>
      <c r="AG363" s="504">
        <v>35000</v>
      </c>
      <c r="AH363" s="500"/>
      <c r="AI363" s="501"/>
      <c r="AJ363" s="502"/>
      <c r="AK363" s="503"/>
      <c r="AL363" s="501"/>
      <c r="AM363" s="504"/>
      <c r="AN363" s="500"/>
      <c r="AO363" s="501"/>
      <c r="AP363" s="502"/>
      <c r="AQ363" s="503"/>
      <c r="AR363" s="501"/>
      <c r="AS363" s="504"/>
      <c r="AT363" s="500"/>
      <c r="AU363" s="501"/>
      <c r="AV363" s="502"/>
      <c r="AW363" s="503"/>
      <c r="AX363" s="501"/>
      <c r="AY363" s="504"/>
      <c r="AZ363" s="500"/>
      <c r="BA363" s="501"/>
      <c r="BB363" s="502"/>
      <c r="BC363" s="503"/>
      <c r="BD363" s="501"/>
      <c r="BE363" s="504"/>
      <c r="BF363" s="500"/>
      <c r="BG363" s="501"/>
      <c r="BH363" s="502"/>
      <c r="BI363" s="503">
        <v>30000</v>
      </c>
      <c r="BJ363" s="501"/>
      <c r="BK363" s="504"/>
      <c r="BL363" s="500"/>
      <c r="BM363" s="501"/>
      <c r="BN363" s="502"/>
      <c r="BO363" s="503"/>
      <c r="BP363" s="501"/>
      <c r="BQ363" s="502"/>
      <c r="BR363" s="730">
        <f t="shared" si="111"/>
        <v>1609500</v>
      </c>
      <c r="BS363" s="731">
        <f t="shared" si="111"/>
        <v>518000</v>
      </c>
      <c r="BT363" s="732">
        <f t="shared" si="111"/>
        <v>35000</v>
      </c>
      <c r="BU363" s="503"/>
      <c r="BV363" s="501"/>
      <c r="BW363" s="504"/>
    </row>
    <row r="364" spans="1:75" s="733" customFormat="1" ht="24">
      <c r="A364" s="519" t="s">
        <v>16</v>
      </c>
      <c r="B364" s="521">
        <v>52</v>
      </c>
      <c r="C364" s="520" t="s">
        <v>32</v>
      </c>
      <c r="D364" s="521">
        <v>6415</v>
      </c>
      <c r="E364" s="522" t="s">
        <v>717</v>
      </c>
      <c r="F364" s="523"/>
      <c r="G364" s="727">
        <f t="shared" si="109"/>
        <v>0</v>
      </c>
      <c r="H364" s="728">
        <f t="shared" si="109"/>
        <v>0</v>
      </c>
      <c r="I364" s="729">
        <f t="shared" si="109"/>
        <v>0</v>
      </c>
      <c r="J364" s="500"/>
      <c r="K364" s="501"/>
      <c r="L364" s="502"/>
      <c r="M364" s="503"/>
      <c r="N364" s="501"/>
      <c r="O364" s="504"/>
      <c r="P364" s="500"/>
      <c r="Q364" s="501"/>
      <c r="R364" s="502"/>
      <c r="S364" s="503"/>
      <c r="T364" s="501"/>
      <c r="U364" s="504"/>
      <c r="V364" s="500"/>
      <c r="W364" s="501"/>
      <c r="X364" s="504"/>
      <c r="Y364" s="505">
        <f t="shared" si="110"/>
        <v>0</v>
      </c>
      <c r="Z364" s="506">
        <f t="shared" si="110"/>
        <v>0</v>
      </c>
      <c r="AA364" s="507">
        <f t="shared" si="110"/>
        <v>0</v>
      </c>
      <c r="AB364" s="500"/>
      <c r="AC364" s="501"/>
      <c r="AD364" s="502"/>
      <c r="AE364" s="503"/>
      <c r="AF364" s="501"/>
      <c r="AG364" s="504"/>
      <c r="AH364" s="500"/>
      <c r="AI364" s="501"/>
      <c r="AJ364" s="502"/>
      <c r="AK364" s="503"/>
      <c r="AL364" s="501"/>
      <c r="AM364" s="504"/>
      <c r="AN364" s="500"/>
      <c r="AO364" s="501"/>
      <c r="AP364" s="502"/>
      <c r="AQ364" s="503"/>
      <c r="AR364" s="501"/>
      <c r="AS364" s="504"/>
      <c r="AT364" s="500"/>
      <c r="AU364" s="501"/>
      <c r="AV364" s="502"/>
      <c r="AW364" s="503"/>
      <c r="AX364" s="501"/>
      <c r="AY364" s="504"/>
      <c r="AZ364" s="500"/>
      <c r="BA364" s="501"/>
      <c r="BB364" s="502"/>
      <c r="BC364" s="503"/>
      <c r="BD364" s="501"/>
      <c r="BE364" s="504"/>
      <c r="BF364" s="500"/>
      <c r="BG364" s="501"/>
      <c r="BH364" s="502"/>
      <c r="BI364" s="503"/>
      <c r="BJ364" s="501"/>
      <c r="BK364" s="504"/>
      <c r="BL364" s="500"/>
      <c r="BM364" s="501"/>
      <c r="BN364" s="502"/>
      <c r="BO364" s="503"/>
      <c r="BP364" s="501"/>
      <c r="BQ364" s="502"/>
      <c r="BR364" s="730">
        <f t="shared" si="111"/>
        <v>0</v>
      </c>
      <c r="BS364" s="731">
        <f t="shared" si="111"/>
        <v>0</v>
      </c>
      <c r="BT364" s="732">
        <f t="shared" si="111"/>
        <v>0</v>
      </c>
      <c r="BU364" s="503"/>
      <c r="BV364" s="501"/>
      <c r="BW364" s="504"/>
    </row>
    <row r="365" spans="1:75" s="739" customFormat="1">
      <c r="A365" s="712" t="s">
        <v>16</v>
      </c>
      <c r="B365" s="713">
        <v>52</v>
      </c>
      <c r="C365" s="714" t="s">
        <v>32</v>
      </c>
      <c r="D365" s="713"/>
      <c r="E365" s="715" t="s">
        <v>692</v>
      </c>
      <c r="F365" s="716"/>
      <c r="G365" s="726">
        <f t="shared" ref="G365:AL365" si="112">SUM(G357:G364)</f>
        <v>26889860</v>
      </c>
      <c r="H365" s="718">
        <f t="shared" si="112"/>
        <v>11456197</v>
      </c>
      <c r="I365" s="719">
        <f t="shared" si="112"/>
        <v>8802120</v>
      </c>
      <c r="J365" s="720">
        <f t="shared" si="112"/>
        <v>365000</v>
      </c>
      <c r="K365" s="718">
        <f t="shared" si="112"/>
        <v>365000</v>
      </c>
      <c r="L365" s="734">
        <f t="shared" si="112"/>
        <v>365000</v>
      </c>
      <c r="M365" s="726">
        <f t="shared" si="112"/>
        <v>723077</v>
      </c>
      <c r="N365" s="718">
        <f t="shared" si="112"/>
        <v>590000</v>
      </c>
      <c r="O365" s="719">
        <f t="shared" si="112"/>
        <v>0</v>
      </c>
      <c r="P365" s="720">
        <f t="shared" si="112"/>
        <v>0</v>
      </c>
      <c r="Q365" s="718">
        <f t="shared" si="112"/>
        <v>0</v>
      </c>
      <c r="R365" s="734">
        <f t="shared" si="112"/>
        <v>0</v>
      </c>
      <c r="S365" s="726">
        <f t="shared" si="112"/>
        <v>452691</v>
      </c>
      <c r="T365" s="718">
        <f t="shared" si="112"/>
        <v>269450</v>
      </c>
      <c r="U365" s="719">
        <f t="shared" si="112"/>
        <v>0</v>
      </c>
      <c r="V365" s="720">
        <f t="shared" si="112"/>
        <v>45094</v>
      </c>
      <c r="W365" s="718">
        <f t="shared" si="112"/>
        <v>0</v>
      </c>
      <c r="X365" s="719">
        <f t="shared" si="112"/>
        <v>0</v>
      </c>
      <c r="Y365" s="726">
        <f t="shared" si="112"/>
        <v>1585862</v>
      </c>
      <c r="Z365" s="718">
        <f t="shared" si="112"/>
        <v>1224450</v>
      </c>
      <c r="AA365" s="719">
        <f t="shared" si="112"/>
        <v>365000</v>
      </c>
      <c r="AB365" s="720">
        <f t="shared" si="112"/>
        <v>0</v>
      </c>
      <c r="AC365" s="718">
        <f t="shared" si="112"/>
        <v>0</v>
      </c>
      <c r="AD365" s="734">
        <f t="shared" si="112"/>
        <v>0</v>
      </c>
      <c r="AE365" s="726">
        <f t="shared" si="112"/>
        <v>2107473</v>
      </c>
      <c r="AF365" s="718">
        <f t="shared" si="112"/>
        <v>603158</v>
      </c>
      <c r="AG365" s="719">
        <f t="shared" si="112"/>
        <v>50000</v>
      </c>
      <c r="AH365" s="720">
        <f t="shared" si="112"/>
        <v>9537201</v>
      </c>
      <c r="AI365" s="718">
        <f t="shared" si="112"/>
        <v>492000</v>
      </c>
      <c r="AJ365" s="734">
        <f t="shared" si="112"/>
        <v>35000</v>
      </c>
      <c r="AK365" s="726">
        <f t="shared" si="112"/>
        <v>395000</v>
      </c>
      <c r="AL365" s="718">
        <f t="shared" si="112"/>
        <v>405000</v>
      </c>
      <c r="AM365" s="719">
        <f t="shared" ref="AM365:BW365" si="113">SUM(AM357:AM364)</f>
        <v>425000</v>
      </c>
      <c r="AN365" s="720">
        <f t="shared" si="113"/>
        <v>1375373</v>
      </c>
      <c r="AO365" s="718">
        <f t="shared" si="113"/>
        <v>1121000</v>
      </c>
      <c r="AP365" s="734">
        <f t="shared" si="113"/>
        <v>955000</v>
      </c>
      <c r="AQ365" s="726">
        <f t="shared" si="113"/>
        <v>985392</v>
      </c>
      <c r="AR365" s="718">
        <f t="shared" si="113"/>
        <v>871645</v>
      </c>
      <c r="AS365" s="719">
        <f t="shared" si="113"/>
        <v>871645</v>
      </c>
      <c r="AT365" s="720">
        <f t="shared" si="113"/>
        <v>7486</v>
      </c>
      <c r="AU365" s="718">
        <f t="shared" si="113"/>
        <v>0</v>
      </c>
      <c r="AV365" s="734">
        <f t="shared" si="113"/>
        <v>0</v>
      </c>
      <c r="AW365" s="726">
        <f t="shared" si="113"/>
        <v>1066026</v>
      </c>
      <c r="AX365" s="718">
        <f t="shared" si="113"/>
        <v>542468</v>
      </c>
      <c r="AY365" s="719">
        <f t="shared" si="113"/>
        <v>374975</v>
      </c>
      <c r="AZ365" s="720">
        <f t="shared" si="113"/>
        <v>90057</v>
      </c>
      <c r="BA365" s="718">
        <f t="shared" si="113"/>
        <v>110000</v>
      </c>
      <c r="BB365" s="734">
        <f t="shared" si="113"/>
        <v>110000</v>
      </c>
      <c r="BC365" s="726">
        <f t="shared" si="113"/>
        <v>0</v>
      </c>
      <c r="BD365" s="718">
        <f t="shared" si="113"/>
        <v>0</v>
      </c>
      <c r="BE365" s="719">
        <f t="shared" si="113"/>
        <v>0</v>
      </c>
      <c r="BF365" s="720">
        <f t="shared" si="113"/>
        <v>2045609</v>
      </c>
      <c r="BG365" s="718">
        <f t="shared" si="113"/>
        <v>550000</v>
      </c>
      <c r="BH365" s="734">
        <f t="shared" si="113"/>
        <v>550000</v>
      </c>
      <c r="BI365" s="726">
        <f t="shared" si="113"/>
        <v>125000</v>
      </c>
      <c r="BJ365" s="718">
        <f t="shared" si="113"/>
        <v>578476</v>
      </c>
      <c r="BK365" s="719">
        <f t="shared" si="113"/>
        <v>145500</v>
      </c>
      <c r="BL365" s="720">
        <f t="shared" si="113"/>
        <v>5206807</v>
      </c>
      <c r="BM365" s="718">
        <f t="shared" si="113"/>
        <v>2090000</v>
      </c>
      <c r="BN365" s="734">
        <f t="shared" si="113"/>
        <v>2090000</v>
      </c>
      <c r="BO365" s="726">
        <f t="shared" si="113"/>
        <v>2362574</v>
      </c>
      <c r="BP365" s="718">
        <f t="shared" si="113"/>
        <v>2868000</v>
      </c>
      <c r="BQ365" s="734">
        <f t="shared" si="113"/>
        <v>2830000</v>
      </c>
      <c r="BR365" s="726">
        <f t="shared" si="113"/>
        <v>26889860</v>
      </c>
      <c r="BS365" s="718">
        <f t="shared" si="113"/>
        <v>11456197</v>
      </c>
      <c r="BT365" s="734">
        <f t="shared" si="113"/>
        <v>8802120</v>
      </c>
      <c r="BU365" s="726">
        <f t="shared" si="113"/>
        <v>0</v>
      </c>
      <c r="BV365" s="718">
        <f t="shared" si="113"/>
        <v>0</v>
      </c>
      <c r="BW365" s="719">
        <f t="shared" si="113"/>
        <v>0</v>
      </c>
    </row>
    <row r="366" spans="1:75" s="733" customFormat="1" ht="24">
      <c r="A366" s="519" t="s">
        <v>16</v>
      </c>
      <c r="B366" s="521">
        <v>61</v>
      </c>
      <c r="C366" s="520" t="s">
        <v>40</v>
      </c>
      <c r="D366" s="521">
        <v>663110000</v>
      </c>
      <c r="E366" s="522" t="s">
        <v>41</v>
      </c>
      <c r="F366" s="523"/>
      <c r="G366" s="727">
        <f t="shared" ref="G366:I370" si="114">BR366+BU366</f>
        <v>10000</v>
      </c>
      <c r="H366" s="728">
        <f t="shared" si="114"/>
        <v>10000</v>
      </c>
      <c r="I366" s="729">
        <f t="shared" si="114"/>
        <v>10000</v>
      </c>
      <c r="J366" s="500"/>
      <c r="K366" s="501"/>
      <c r="L366" s="502"/>
      <c r="M366" s="503"/>
      <c r="N366" s="501"/>
      <c r="O366" s="504"/>
      <c r="P366" s="500"/>
      <c r="Q366" s="501"/>
      <c r="R366" s="502"/>
      <c r="S366" s="503"/>
      <c r="T366" s="501"/>
      <c r="U366" s="504"/>
      <c r="V366" s="500"/>
      <c r="W366" s="501"/>
      <c r="X366" s="504"/>
      <c r="Y366" s="505">
        <f t="shared" ref="Y366:AA370" si="115">J366+M366+P366+S366+V366</f>
        <v>0</v>
      </c>
      <c r="Z366" s="506">
        <f t="shared" si="115"/>
        <v>0</v>
      </c>
      <c r="AA366" s="507">
        <f t="shared" si="115"/>
        <v>0</v>
      </c>
      <c r="AB366" s="500"/>
      <c r="AC366" s="501"/>
      <c r="AD366" s="502"/>
      <c r="AE366" s="503"/>
      <c r="AF366" s="501"/>
      <c r="AG366" s="504"/>
      <c r="AH366" s="500"/>
      <c r="AI366" s="501"/>
      <c r="AJ366" s="502"/>
      <c r="AK366" s="503"/>
      <c r="AL366" s="501"/>
      <c r="AM366" s="504"/>
      <c r="AN366" s="500">
        <v>10000</v>
      </c>
      <c r="AO366" s="501">
        <v>10000</v>
      </c>
      <c r="AP366" s="502">
        <v>10000</v>
      </c>
      <c r="AQ366" s="503"/>
      <c r="AR366" s="501"/>
      <c r="AS366" s="504"/>
      <c r="AT366" s="500"/>
      <c r="AU366" s="501"/>
      <c r="AV366" s="502"/>
      <c r="AW366" s="503"/>
      <c r="AX366" s="501"/>
      <c r="AY366" s="504"/>
      <c r="AZ366" s="500"/>
      <c r="BA366" s="501"/>
      <c r="BB366" s="502"/>
      <c r="BC366" s="503"/>
      <c r="BD366" s="501"/>
      <c r="BE366" s="504"/>
      <c r="BF366" s="500"/>
      <c r="BG366" s="501"/>
      <c r="BH366" s="502"/>
      <c r="BI366" s="503"/>
      <c r="BJ366" s="501"/>
      <c r="BK366" s="504"/>
      <c r="BL366" s="500"/>
      <c r="BM366" s="501"/>
      <c r="BN366" s="502"/>
      <c r="BO366" s="503"/>
      <c r="BP366" s="501"/>
      <c r="BQ366" s="502"/>
      <c r="BR366" s="730">
        <f t="shared" ref="BR366:BT370" si="116">AB366+AE366+AH366+AK366+AN366+AQ366+AT366+AW366+AZ366+BC366+BF366+BI366+BL366+BO366+Y366</f>
        <v>10000</v>
      </c>
      <c r="BS366" s="731">
        <f t="shared" si="116"/>
        <v>10000</v>
      </c>
      <c r="BT366" s="732">
        <f t="shared" si="116"/>
        <v>10000</v>
      </c>
      <c r="BU366" s="503"/>
      <c r="BV366" s="501"/>
      <c r="BW366" s="504"/>
    </row>
    <row r="367" spans="1:75" s="733" customFormat="1" ht="36">
      <c r="A367" s="519" t="s">
        <v>16</v>
      </c>
      <c r="B367" s="521">
        <v>61</v>
      </c>
      <c r="C367" s="520" t="s">
        <v>40</v>
      </c>
      <c r="D367" s="521">
        <v>663120000</v>
      </c>
      <c r="E367" s="522" t="s">
        <v>42</v>
      </c>
      <c r="F367" s="523"/>
      <c r="G367" s="727">
        <f t="shared" si="114"/>
        <v>886697</v>
      </c>
      <c r="H367" s="728">
        <f t="shared" si="114"/>
        <v>602724</v>
      </c>
      <c r="I367" s="729">
        <f t="shared" si="114"/>
        <v>295500</v>
      </c>
      <c r="J367" s="500"/>
      <c r="K367" s="501"/>
      <c r="L367" s="502"/>
      <c r="M367" s="503"/>
      <c r="N367" s="501"/>
      <c r="O367" s="504"/>
      <c r="P367" s="500"/>
      <c r="Q367" s="501"/>
      <c r="R367" s="502"/>
      <c r="S367" s="503"/>
      <c r="T367" s="501"/>
      <c r="U367" s="504"/>
      <c r="V367" s="500"/>
      <c r="W367" s="501"/>
      <c r="X367" s="504"/>
      <c r="Y367" s="505">
        <f t="shared" si="115"/>
        <v>0</v>
      </c>
      <c r="Z367" s="506">
        <f t="shared" si="115"/>
        <v>0</v>
      </c>
      <c r="AA367" s="507">
        <f t="shared" si="115"/>
        <v>0</v>
      </c>
      <c r="AB367" s="500"/>
      <c r="AC367" s="501"/>
      <c r="AD367" s="502"/>
      <c r="AE367" s="503">
        <v>106190</v>
      </c>
      <c r="AF367" s="501"/>
      <c r="AG367" s="504"/>
      <c r="AH367" s="500">
        <v>273612</v>
      </c>
      <c r="AI367" s="501"/>
      <c r="AJ367" s="502"/>
      <c r="AK367" s="503"/>
      <c r="AL367" s="501"/>
      <c r="AM367" s="504"/>
      <c r="AN367" s="500">
        <v>150000</v>
      </c>
      <c r="AO367" s="501">
        <v>150000</v>
      </c>
      <c r="AP367" s="502">
        <v>150000</v>
      </c>
      <c r="AQ367" s="503"/>
      <c r="AR367" s="501"/>
      <c r="AS367" s="504"/>
      <c r="AT367" s="500"/>
      <c r="AU367" s="501"/>
      <c r="AV367" s="502"/>
      <c r="AW367" s="503"/>
      <c r="AX367" s="501"/>
      <c r="AY367" s="504"/>
      <c r="AZ367" s="500"/>
      <c r="BA367" s="501"/>
      <c r="BB367" s="502"/>
      <c r="BC367" s="503"/>
      <c r="BD367" s="501"/>
      <c r="BE367" s="504"/>
      <c r="BF367" s="500"/>
      <c r="BG367" s="501"/>
      <c r="BH367" s="502"/>
      <c r="BI367" s="503">
        <f>252000-122967</f>
        <v>129033</v>
      </c>
      <c r="BJ367" s="501">
        <v>145500</v>
      </c>
      <c r="BK367" s="504">
        <v>145500</v>
      </c>
      <c r="BL367" s="500">
        <v>227862</v>
      </c>
      <c r="BM367" s="501">
        <v>307224</v>
      </c>
      <c r="BN367" s="502"/>
      <c r="BO367" s="503"/>
      <c r="BP367" s="501"/>
      <c r="BQ367" s="502"/>
      <c r="BR367" s="730">
        <f t="shared" si="116"/>
        <v>886697</v>
      </c>
      <c r="BS367" s="731">
        <f t="shared" si="116"/>
        <v>602724</v>
      </c>
      <c r="BT367" s="732">
        <f t="shared" si="116"/>
        <v>295500</v>
      </c>
      <c r="BU367" s="503"/>
      <c r="BV367" s="501"/>
      <c r="BW367" s="504"/>
    </row>
    <row r="368" spans="1:75" s="733" customFormat="1" ht="24">
      <c r="A368" s="519" t="s">
        <v>16</v>
      </c>
      <c r="B368" s="521">
        <v>61</v>
      </c>
      <c r="C368" s="520" t="s">
        <v>40</v>
      </c>
      <c r="D368" s="521">
        <v>663130000</v>
      </c>
      <c r="E368" s="522" t="s">
        <v>43</v>
      </c>
      <c r="F368" s="523"/>
      <c r="G368" s="727">
        <f t="shared" si="114"/>
        <v>1781078</v>
      </c>
      <c r="H368" s="728">
        <f t="shared" si="114"/>
        <v>1227663</v>
      </c>
      <c r="I368" s="729">
        <f t="shared" si="114"/>
        <v>1040000</v>
      </c>
      <c r="J368" s="500"/>
      <c r="K368" s="501"/>
      <c r="L368" s="502"/>
      <c r="M368" s="503"/>
      <c r="N368" s="501"/>
      <c r="O368" s="504"/>
      <c r="P368" s="500"/>
      <c r="Q368" s="501"/>
      <c r="R368" s="502"/>
      <c r="S368" s="503"/>
      <c r="T368" s="501"/>
      <c r="U368" s="504"/>
      <c r="V368" s="500"/>
      <c r="W368" s="501"/>
      <c r="X368" s="504"/>
      <c r="Y368" s="505">
        <f t="shared" si="115"/>
        <v>0</v>
      </c>
      <c r="Z368" s="506">
        <f t="shared" si="115"/>
        <v>0</v>
      </c>
      <c r="AA368" s="507">
        <f t="shared" si="115"/>
        <v>0</v>
      </c>
      <c r="AB368" s="500">
        <v>45000</v>
      </c>
      <c r="AC368" s="501">
        <v>45000</v>
      </c>
      <c r="AD368" s="502">
        <v>45000</v>
      </c>
      <c r="AE368" s="503"/>
      <c r="AF368" s="501"/>
      <c r="AG368" s="504"/>
      <c r="AH368" s="500">
        <v>180194</v>
      </c>
      <c r="AI368" s="501">
        <v>190663</v>
      </c>
      <c r="AJ368" s="502"/>
      <c r="AK368" s="503"/>
      <c r="AL368" s="501"/>
      <c r="AM368" s="504"/>
      <c r="AN368" s="500">
        <v>1500000</v>
      </c>
      <c r="AO368" s="501">
        <v>900000</v>
      </c>
      <c r="AP368" s="502">
        <v>900000</v>
      </c>
      <c r="AQ368" s="503"/>
      <c r="AR368" s="501"/>
      <c r="AS368" s="504"/>
      <c r="AT368" s="500"/>
      <c r="AU368" s="501"/>
      <c r="AV368" s="502"/>
      <c r="AW368" s="503"/>
      <c r="AX368" s="501"/>
      <c r="AY368" s="504"/>
      <c r="AZ368" s="500"/>
      <c r="BA368" s="501"/>
      <c r="BB368" s="502"/>
      <c r="BC368" s="503"/>
      <c r="BD368" s="501"/>
      <c r="BE368" s="504"/>
      <c r="BF368" s="500">
        <v>55884</v>
      </c>
      <c r="BG368" s="501">
        <v>92000</v>
      </c>
      <c r="BH368" s="502">
        <v>95000</v>
      </c>
      <c r="BI368" s="503"/>
      <c r="BJ368" s="501"/>
      <c r="BK368" s="504"/>
      <c r="BL368" s="500"/>
      <c r="BM368" s="501"/>
      <c r="BN368" s="502"/>
      <c r="BO368" s="503"/>
      <c r="BP368" s="501"/>
      <c r="BQ368" s="502"/>
      <c r="BR368" s="730">
        <f t="shared" si="116"/>
        <v>1781078</v>
      </c>
      <c r="BS368" s="731">
        <f t="shared" si="116"/>
        <v>1227663</v>
      </c>
      <c r="BT368" s="732">
        <f t="shared" si="116"/>
        <v>1040000</v>
      </c>
      <c r="BU368" s="503"/>
      <c r="BV368" s="501"/>
      <c r="BW368" s="504"/>
    </row>
    <row r="369" spans="1:75" s="733" customFormat="1" ht="36">
      <c r="A369" s="519" t="s">
        <v>16</v>
      </c>
      <c r="B369" s="521">
        <v>61</v>
      </c>
      <c r="C369" s="520" t="s">
        <v>40</v>
      </c>
      <c r="D369" s="521">
        <v>663140000</v>
      </c>
      <c r="E369" s="522" t="s">
        <v>44</v>
      </c>
      <c r="F369" s="523"/>
      <c r="G369" s="727">
        <f t="shared" si="114"/>
        <v>126000</v>
      </c>
      <c r="H369" s="728">
        <f t="shared" si="114"/>
        <v>85000</v>
      </c>
      <c r="I369" s="729">
        <f t="shared" si="114"/>
        <v>50000</v>
      </c>
      <c r="J369" s="500"/>
      <c r="K369" s="501"/>
      <c r="L369" s="502"/>
      <c r="M369" s="503"/>
      <c r="N369" s="501"/>
      <c r="O369" s="504"/>
      <c r="P369" s="500"/>
      <c r="Q369" s="501"/>
      <c r="R369" s="502"/>
      <c r="S369" s="503"/>
      <c r="T369" s="501"/>
      <c r="U369" s="504"/>
      <c r="V369" s="500"/>
      <c r="W369" s="501"/>
      <c r="X369" s="504"/>
      <c r="Y369" s="505">
        <f t="shared" si="115"/>
        <v>0</v>
      </c>
      <c r="Z369" s="506">
        <f t="shared" si="115"/>
        <v>0</v>
      </c>
      <c r="AA369" s="507">
        <f t="shared" si="115"/>
        <v>0</v>
      </c>
      <c r="AB369" s="500"/>
      <c r="AC369" s="501"/>
      <c r="AD369" s="502"/>
      <c r="AE369" s="503"/>
      <c r="AF369" s="501"/>
      <c r="AG369" s="504"/>
      <c r="AH369" s="500"/>
      <c r="AI369" s="501"/>
      <c r="AJ369" s="502"/>
      <c r="AK369" s="503"/>
      <c r="AL369" s="501"/>
      <c r="AM369" s="504"/>
      <c r="AN369" s="500">
        <v>50000</v>
      </c>
      <c r="AO369" s="501">
        <v>50000</v>
      </c>
      <c r="AP369" s="502">
        <v>50000</v>
      </c>
      <c r="AQ369" s="503"/>
      <c r="AR369" s="501"/>
      <c r="AS369" s="504"/>
      <c r="AT369" s="500"/>
      <c r="AU369" s="501"/>
      <c r="AV369" s="502"/>
      <c r="AW369" s="503"/>
      <c r="AX369" s="501"/>
      <c r="AY369" s="504"/>
      <c r="AZ369" s="500"/>
      <c r="BA369" s="501"/>
      <c r="BB369" s="502"/>
      <c r="BC369" s="503"/>
      <c r="BD369" s="501"/>
      <c r="BE369" s="504"/>
      <c r="BF369" s="500"/>
      <c r="BG369" s="501"/>
      <c r="BH369" s="502"/>
      <c r="BI369" s="503">
        <v>76000</v>
      </c>
      <c r="BJ369" s="501">
        <v>35000</v>
      </c>
      <c r="BK369" s="504">
        <v>0</v>
      </c>
      <c r="BL369" s="500"/>
      <c r="BM369" s="501"/>
      <c r="BN369" s="502"/>
      <c r="BO369" s="503"/>
      <c r="BP369" s="501"/>
      <c r="BQ369" s="502"/>
      <c r="BR369" s="730">
        <f t="shared" si="116"/>
        <v>126000</v>
      </c>
      <c r="BS369" s="731">
        <f t="shared" si="116"/>
        <v>85000</v>
      </c>
      <c r="BT369" s="732">
        <f t="shared" si="116"/>
        <v>50000</v>
      </c>
      <c r="BU369" s="503"/>
      <c r="BV369" s="501"/>
      <c r="BW369" s="504"/>
    </row>
    <row r="370" spans="1:75" s="733" customFormat="1" ht="36">
      <c r="A370" s="519" t="s">
        <v>16</v>
      </c>
      <c r="B370" s="521">
        <v>61</v>
      </c>
      <c r="C370" s="520" t="s">
        <v>40</v>
      </c>
      <c r="D370" s="521">
        <v>663210000</v>
      </c>
      <c r="E370" s="522" t="s">
        <v>45</v>
      </c>
      <c r="F370" s="523"/>
      <c r="G370" s="727">
        <f t="shared" si="114"/>
        <v>25004</v>
      </c>
      <c r="H370" s="728">
        <f t="shared" si="114"/>
        <v>50000</v>
      </c>
      <c r="I370" s="729">
        <f t="shared" si="114"/>
        <v>50000</v>
      </c>
      <c r="J370" s="500"/>
      <c r="K370" s="501"/>
      <c r="L370" s="502"/>
      <c r="M370" s="503"/>
      <c r="N370" s="501"/>
      <c r="O370" s="504"/>
      <c r="P370" s="500"/>
      <c r="Q370" s="501"/>
      <c r="R370" s="502"/>
      <c r="S370" s="503"/>
      <c r="T370" s="501"/>
      <c r="U370" s="504"/>
      <c r="V370" s="500"/>
      <c r="W370" s="501"/>
      <c r="X370" s="504"/>
      <c r="Y370" s="505">
        <f t="shared" si="115"/>
        <v>0</v>
      </c>
      <c r="Z370" s="506">
        <f t="shared" si="115"/>
        <v>0</v>
      </c>
      <c r="AA370" s="507">
        <f t="shared" si="115"/>
        <v>0</v>
      </c>
      <c r="AB370" s="500"/>
      <c r="AC370" s="501"/>
      <c r="AD370" s="502"/>
      <c r="AE370" s="503"/>
      <c r="AF370" s="501"/>
      <c r="AG370" s="504"/>
      <c r="AH370" s="500"/>
      <c r="AI370" s="501"/>
      <c r="AJ370" s="502"/>
      <c r="AK370" s="503"/>
      <c r="AL370" s="501"/>
      <c r="AM370" s="504"/>
      <c r="AN370" s="500"/>
      <c r="AO370" s="501"/>
      <c r="AP370" s="502"/>
      <c r="AQ370" s="503"/>
      <c r="AR370" s="501"/>
      <c r="AS370" s="504"/>
      <c r="AT370" s="500"/>
      <c r="AU370" s="501"/>
      <c r="AV370" s="502"/>
      <c r="AW370" s="503"/>
      <c r="AX370" s="501"/>
      <c r="AY370" s="504"/>
      <c r="AZ370" s="500"/>
      <c r="BA370" s="501"/>
      <c r="BB370" s="502"/>
      <c r="BC370" s="503"/>
      <c r="BD370" s="501"/>
      <c r="BE370" s="504"/>
      <c r="BF370" s="500"/>
      <c r="BG370" s="501"/>
      <c r="BH370" s="502"/>
      <c r="BI370" s="503"/>
      <c r="BJ370" s="501"/>
      <c r="BK370" s="504"/>
      <c r="BL370" s="500"/>
      <c r="BM370" s="501"/>
      <c r="BN370" s="502"/>
      <c r="BO370" s="503">
        <f>40000-14996</f>
        <v>25004</v>
      </c>
      <c r="BP370" s="501">
        <v>50000</v>
      </c>
      <c r="BQ370" s="502">
        <v>50000</v>
      </c>
      <c r="BR370" s="730">
        <f t="shared" si="116"/>
        <v>25004</v>
      </c>
      <c r="BS370" s="731">
        <f t="shared" si="116"/>
        <v>50000</v>
      </c>
      <c r="BT370" s="732">
        <f t="shared" si="116"/>
        <v>50000</v>
      </c>
      <c r="BU370" s="503"/>
      <c r="BV370" s="501"/>
      <c r="BW370" s="504"/>
    </row>
    <row r="371" spans="1:75" s="733" customFormat="1">
      <c r="A371" s="712" t="s">
        <v>16</v>
      </c>
      <c r="B371" s="713">
        <v>61</v>
      </c>
      <c r="C371" s="714" t="s">
        <v>40</v>
      </c>
      <c r="D371" s="713"/>
      <c r="E371" s="715" t="s">
        <v>692</v>
      </c>
      <c r="F371" s="716"/>
      <c r="G371" s="726">
        <f t="shared" ref="G371:AL371" si="117">SUM(G366:G370)</f>
        <v>2828779</v>
      </c>
      <c r="H371" s="718">
        <f t="shared" si="117"/>
        <v>1975387</v>
      </c>
      <c r="I371" s="719">
        <f t="shared" si="117"/>
        <v>1445500</v>
      </c>
      <c r="J371" s="720">
        <f t="shared" si="117"/>
        <v>0</v>
      </c>
      <c r="K371" s="718">
        <f t="shared" si="117"/>
        <v>0</v>
      </c>
      <c r="L371" s="734">
        <f t="shared" si="117"/>
        <v>0</v>
      </c>
      <c r="M371" s="726">
        <f t="shared" si="117"/>
        <v>0</v>
      </c>
      <c r="N371" s="718">
        <f t="shared" si="117"/>
        <v>0</v>
      </c>
      <c r="O371" s="719">
        <f t="shared" si="117"/>
        <v>0</v>
      </c>
      <c r="P371" s="720">
        <f t="shared" si="117"/>
        <v>0</v>
      </c>
      <c r="Q371" s="718">
        <f t="shared" si="117"/>
        <v>0</v>
      </c>
      <c r="R371" s="734">
        <f t="shared" si="117"/>
        <v>0</v>
      </c>
      <c r="S371" s="726">
        <f t="shared" si="117"/>
        <v>0</v>
      </c>
      <c r="T371" s="718">
        <f t="shared" si="117"/>
        <v>0</v>
      </c>
      <c r="U371" s="719">
        <f t="shared" si="117"/>
        <v>0</v>
      </c>
      <c r="V371" s="720">
        <f t="shared" si="117"/>
        <v>0</v>
      </c>
      <c r="W371" s="718">
        <f t="shared" si="117"/>
        <v>0</v>
      </c>
      <c r="X371" s="719">
        <f t="shared" si="117"/>
        <v>0</v>
      </c>
      <c r="Y371" s="726">
        <f t="shared" si="117"/>
        <v>0</v>
      </c>
      <c r="Z371" s="718">
        <f t="shared" si="117"/>
        <v>0</v>
      </c>
      <c r="AA371" s="719">
        <f t="shared" si="117"/>
        <v>0</v>
      </c>
      <c r="AB371" s="720">
        <f t="shared" si="117"/>
        <v>45000</v>
      </c>
      <c r="AC371" s="718">
        <f t="shared" si="117"/>
        <v>45000</v>
      </c>
      <c r="AD371" s="734">
        <f t="shared" si="117"/>
        <v>45000</v>
      </c>
      <c r="AE371" s="726">
        <f t="shared" si="117"/>
        <v>106190</v>
      </c>
      <c r="AF371" s="718">
        <f t="shared" si="117"/>
        <v>0</v>
      </c>
      <c r="AG371" s="719">
        <f t="shared" si="117"/>
        <v>0</v>
      </c>
      <c r="AH371" s="720">
        <f t="shared" si="117"/>
        <v>453806</v>
      </c>
      <c r="AI371" s="718">
        <f t="shared" si="117"/>
        <v>190663</v>
      </c>
      <c r="AJ371" s="734">
        <f t="shared" si="117"/>
        <v>0</v>
      </c>
      <c r="AK371" s="726">
        <f t="shared" si="117"/>
        <v>0</v>
      </c>
      <c r="AL371" s="718">
        <f t="shared" si="117"/>
        <v>0</v>
      </c>
      <c r="AM371" s="719">
        <f t="shared" ref="AM371:BW371" si="118">SUM(AM366:AM370)</f>
        <v>0</v>
      </c>
      <c r="AN371" s="720">
        <f t="shared" si="118"/>
        <v>1710000</v>
      </c>
      <c r="AO371" s="718">
        <f t="shared" si="118"/>
        <v>1110000</v>
      </c>
      <c r="AP371" s="734">
        <f t="shared" si="118"/>
        <v>1110000</v>
      </c>
      <c r="AQ371" s="726">
        <f t="shared" si="118"/>
        <v>0</v>
      </c>
      <c r="AR371" s="718">
        <f t="shared" si="118"/>
        <v>0</v>
      </c>
      <c r="AS371" s="719">
        <f t="shared" si="118"/>
        <v>0</v>
      </c>
      <c r="AT371" s="720">
        <f t="shared" si="118"/>
        <v>0</v>
      </c>
      <c r="AU371" s="718">
        <f t="shared" si="118"/>
        <v>0</v>
      </c>
      <c r="AV371" s="734">
        <f t="shared" si="118"/>
        <v>0</v>
      </c>
      <c r="AW371" s="726">
        <f t="shared" si="118"/>
        <v>0</v>
      </c>
      <c r="AX371" s="718">
        <f t="shared" si="118"/>
        <v>0</v>
      </c>
      <c r="AY371" s="719">
        <f t="shared" si="118"/>
        <v>0</v>
      </c>
      <c r="AZ371" s="720">
        <f t="shared" si="118"/>
        <v>0</v>
      </c>
      <c r="BA371" s="718">
        <f t="shared" si="118"/>
        <v>0</v>
      </c>
      <c r="BB371" s="734">
        <f t="shared" si="118"/>
        <v>0</v>
      </c>
      <c r="BC371" s="726">
        <f t="shared" si="118"/>
        <v>0</v>
      </c>
      <c r="BD371" s="718">
        <f t="shared" si="118"/>
        <v>0</v>
      </c>
      <c r="BE371" s="719">
        <f t="shared" si="118"/>
        <v>0</v>
      </c>
      <c r="BF371" s="720">
        <f t="shared" si="118"/>
        <v>55884</v>
      </c>
      <c r="BG371" s="718">
        <f t="shared" si="118"/>
        <v>92000</v>
      </c>
      <c r="BH371" s="734">
        <f t="shared" si="118"/>
        <v>95000</v>
      </c>
      <c r="BI371" s="726">
        <f t="shared" si="118"/>
        <v>205033</v>
      </c>
      <c r="BJ371" s="718">
        <f t="shared" si="118"/>
        <v>180500</v>
      </c>
      <c r="BK371" s="719">
        <f t="shared" si="118"/>
        <v>145500</v>
      </c>
      <c r="BL371" s="720">
        <f t="shared" si="118"/>
        <v>227862</v>
      </c>
      <c r="BM371" s="718">
        <f t="shared" si="118"/>
        <v>307224</v>
      </c>
      <c r="BN371" s="734">
        <f t="shared" si="118"/>
        <v>0</v>
      </c>
      <c r="BO371" s="726">
        <f t="shared" si="118"/>
        <v>25004</v>
      </c>
      <c r="BP371" s="718">
        <f t="shared" si="118"/>
        <v>50000</v>
      </c>
      <c r="BQ371" s="734">
        <f t="shared" si="118"/>
        <v>50000</v>
      </c>
      <c r="BR371" s="726">
        <f t="shared" si="118"/>
        <v>2828779</v>
      </c>
      <c r="BS371" s="718">
        <f t="shared" si="118"/>
        <v>1975387</v>
      </c>
      <c r="BT371" s="734">
        <f t="shared" si="118"/>
        <v>1445500</v>
      </c>
      <c r="BU371" s="726">
        <f t="shared" si="118"/>
        <v>0</v>
      </c>
      <c r="BV371" s="718">
        <f t="shared" si="118"/>
        <v>0</v>
      </c>
      <c r="BW371" s="719">
        <f t="shared" si="118"/>
        <v>0</v>
      </c>
    </row>
    <row r="372" spans="1:75" s="733" customFormat="1" ht="36">
      <c r="A372" s="712" t="s">
        <v>16</v>
      </c>
      <c r="B372" s="713">
        <v>63</v>
      </c>
      <c r="C372" s="714" t="s">
        <v>732</v>
      </c>
      <c r="D372" s="713">
        <v>6631</v>
      </c>
      <c r="E372" s="740" t="s">
        <v>785</v>
      </c>
      <c r="F372" s="716"/>
      <c r="G372" s="717">
        <f t="shared" ref="G372:I373" si="119">BR372+BU372</f>
        <v>0</v>
      </c>
      <c r="H372" s="718">
        <f t="shared" si="119"/>
        <v>0</v>
      </c>
      <c r="I372" s="719">
        <f t="shared" si="119"/>
        <v>0</v>
      </c>
      <c r="J372" s="741"/>
      <c r="K372" s="742"/>
      <c r="L372" s="743"/>
      <c r="M372" s="744"/>
      <c r="N372" s="742"/>
      <c r="O372" s="745"/>
      <c r="P372" s="741"/>
      <c r="Q372" s="742"/>
      <c r="R372" s="743"/>
      <c r="S372" s="744"/>
      <c r="T372" s="742"/>
      <c r="U372" s="745"/>
      <c r="V372" s="741"/>
      <c r="W372" s="742"/>
      <c r="X372" s="745"/>
      <c r="Y372" s="746">
        <f t="shared" ref="Y372:AA373" si="120">J372+M372+P372+S372+V372</f>
        <v>0</v>
      </c>
      <c r="Z372" s="747">
        <f t="shared" si="120"/>
        <v>0</v>
      </c>
      <c r="AA372" s="748">
        <f t="shared" si="120"/>
        <v>0</v>
      </c>
      <c r="AB372" s="741"/>
      <c r="AC372" s="742"/>
      <c r="AD372" s="743"/>
      <c r="AE372" s="744"/>
      <c r="AF372" s="742"/>
      <c r="AG372" s="745"/>
      <c r="AH372" s="741"/>
      <c r="AI372" s="742"/>
      <c r="AJ372" s="743"/>
      <c r="AK372" s="744"/>
      <c r="AL372" s="742"/>
      <c r="AM372" s="745"/>
      <c r="AN372" s="741"/>
      <c r="AO372" s="742"/>
      <c r="AP372" s="743"/>
      <c r="AQ372" s="744"/>
      <c r="AR372" s="742"/>
      <c r="AS372" s="745"/>
      <c r="AT372" s="741"/>
      <c r="AU372" s="742"/>
      <c r="AV372" s="743"/>
      <c r="AW372" s="744"/>
      <c r="AX372" s="742"/>
      <c r="AY372" s="745"/>
      <c r="AZ372" s="741"/>
      <c r="BA372" s="742"/>
      <c r="BB372" s="743"/>
      <c r="BC372" s="744"/>
      <c r="BD372" s="742"/>
      <c r="BE372" s="745"/>
      <c r="BF372" s="741"/>
      <c r="BG372" s="742"/>
      <c r="BH372" s="743"/>
      <c r="BI372" s="744"/>
      <c r="BJ372" s="742"/>
      <c r="BK372" s="745"/>
      <c r="BL372" s="741"/>
      <c r="BM372" s="742"/>
      <c r="BN372" s="743"/>
      <c r="BO372" s="744"/>
      <c r="BP372" s="742"/>
      <c r="BQ372" s="743"/>
      <c r="BR372" s="723">
        <f t="shared" ref="BR372:BT373" si="121">AB372+AE372+AH372+AK372+AN372+AQ372+AT372+AW372+AZ372+BC372+BF372+BI372+BL372+BO372+Y372</f>
        <v>0</v>
      </c>
      <c r="BS372" s="721">
        <f t="shared" si="121"/>
        <v>0</v>
      </c>
      <c r="BT372" s="722">
        <f t="shared" si="121"/>
        <v>0</v>
      </c>
      <c r="BU372" s="723">
        <v>0</v>
      </c>
      <c r="BV372" s="721">
        <v>0</v>
      </c>
      <c r="BW372" s="724">
        <v>0</v>
      </c>
    </row>
    <row r="373" spans="1:75" s="738" customFormat="1" ht="72">
      <c r="A373" s="519" t="s">
        <v>16</v>
      </c>
      <c r="B373" s="521">
        <v>71</v>
      </c>
      <c r="C373" s="520" t="s">
        <v>47</v>
      </c>
      <c r="D373" s="521">
        <v>721110071</v>
      </c>
      <c r="E373" s="522" t="s">
        <v>48</v>
      </c>
      <c r="F373" s="523"/>
      <c r="G373" s="727">
        <f t="shared" si="119"/>
        <v>19700</v>
      </c>
      <c r="H373" s="728">
        <f t="shared" si="119"/>
        <v>17200</v>
      </c>
      <c r="I373" s="729">
        <f t="shared" si="119"/>
        <v>17200</v>
      </c>
      <c r="J373" s="615"/>
      <c r="K373" s="616"/>
      <c r="L373" s="617"/>
      <c r="M373" s="618"/>
      <c r="N373" s="616"/>
      <c r="O373" s="619"/>
      <c r="P373" s="615"/>
      <c r="Q373" s="616"/>
      <c r="R373" s="617"/>
      <c r="S373" s="618"/>
      <c r="T373" s="616"/>
      <c r="U373" s="619"/>
      <c r="V373" s="615"/>
      <c r="W373" s="616"/>
      <c r="X373" s="619"/>
      <c r="Y373" s="505">
        <f t="shared" si="120"/>
        <v>0</v>
      </c>
      <c r="Z373" s="506">
        <f t="shared" si="120"/>
        <v>0</v>
      </c>
      <c r="AA373" s="507">
        <f t="shared" si="120"/>
        <v>0</v>
      </c>
      <c r="AB373" s="615"/>
      <c r="AC373" s="616"/>
      <c r="AD373" s="617"/>
      <c r="AE373" s="618">
        <v>8000</v>
      </c>
      <c r="AF373" s="616">
        <v>6000</v>
      </c>
      <c r="AG373" s="619">
        <v>6000</v>
      </c>
      <c r="AH373" s="615"/>
      <c r="AI373" s="616"/>
      <c r="AJ373" s="617"/>
      <c r="AK373" s="618"/>
      <c r="AL373" s="616"/>
      <c r="AM373" s="619"/>
      <c r="AN373" s="615">
        <v>2000</v>
      </c>
      <c r="AO373" s="616">
        <v>2000</v>
      </c>
      <c r="AP373" s="617">
        <v>2000</v>
      </c>
      <c r="AQ373" s="618">
        <v>5000</v>
      </c>
      <c r="AR373" s="616">
        <v>4500</v>
      </c>
      <c r="AS373" s="619">
        <v>4500</v>
      </c>
      <c r="AT373" s="615"/>
      <c r="AU373" s="616"/>
      <c r="AV373" s="617"/>
      <c r="AW373" s="618"/>
      <c r="AX373" s="616"/>
      <c r="AY373" s="619"/>
      <c r="AZ373" s="615"/>
      <c r="BA373" s="616"/>
      <c r="BB373" s="617"/>
      <c r="BC373" s="618"/>
      <c r="BD373" s="616"/>
      <c r="BE373" s="619"/>
      <c r="BF373" s="615"/>
      <c r="BG373" s="616"/>
      <c r="BH373" s="617"/>
      <c r="BI373" s="618">
        <v>2000</v>
      </c>
      <c r="BJ373" s="616">
        <v>2000</v>
      </c>
      <c r="BK373" s="619">
        <v>2000</v>
      </c>
      <c r="BL373" s="615">
        <v>2700</v>
      </c>
      <c r="BM373" s="616">
        <v>2700</v>
      </c>
      <c r="BN373" s="617">
        <v>2700</v>
      </c>
      <c r="BO373" s="618"/>
      <c r="BP373" s="616"/>
      <c r="BQ373" s="617"/>
      <c r="BR373" s="730">
        <f t="shared" si="121"/>
        <v>19700</v>
      </c>
      <c r="BS373" s="731">
        <f t="shared" si="121"/>
        <v>17200</v>
      </c>
      <c r="BT373" s="732">
        <f t="shared" si="121"/>
        <v>17200</v>
      </c>
      <c r="BU373" s="618"/>
      <c r="BV373" s="616"/>
      <c r="BW373" s="619"/>
    </row>
    <row r="374" spans="1:75" s="733" customFormat="1" ht="60">
      <c r="A374" s="712" t="s">
        <v>16</v>
      </c>
      <c r="B374" s="713">
        <v>7</v>
      </c>
      <c r="C374" s="714" t="s">
        <v>47</v>
      </c>
      <c r="D374" s="713"/>
      <c r="E374" s="715" t="s">
        <v>692</v>
      </c>
      <c r="F374" s="716"/>
      <c r="G374" s="726">
        <f t="shared" ref="G374:BR374" si="122">SUM(G373:G373)</f>
        <v>19700</v>
      </c>
      <c r="H374" s="718">
        <f t="shared" si="122"/>
        <v>17200</v>
      </c>
      <c r="I374" s="719">
        <f t="shared" si="122"/>
        <v>17200</v>
      </c>
      <c r="J374" s="720">
        <f t="shared" si="122"/>
        <v>0</v>
      </c>
      <c r="K374" s="718">
        <f t="shared" si="122"/>
        <v>0</v>
      </c>
      <c r="L374" s="734">
        <f t="shared" si="122"/>
        <v>0</v>
      </c>
      <c r="M374" s="726">
        <f t="shared" si="122"/>
        <v>0</v>
      </c>
      <c r="N374" s="718">
        <f t="shared" si="122"/>
        <v>0</v>
      </c>
      <c r="O374" s="719">
        <f t="shared" si="122"/>
        <v>0</v>
      </c>
      <c r="P374" s="720">
        <f t="shared" si="122"/>
        <v>0</v>
      </c>
      <c r="Q374" s="718">
        <f t="shared" si="122"/>
        <v>0</v>
      </c>
      <c r="R374" s="734">
        <f t="shared" si="122"/>
        <v>0</v>
      </c>
      <c r="S374" s="726">
        <f t="shared" si="122"/>
        <v>0</v>
      </c>
      <c r="T374" s="718">
        <f t="shared" si="122"/>
        <v>0</v>
      </c>
      <c r="U374" s="719">
        <f t="shared" si="122"/>
        <v>0</v>
      </c>
      <c r="V374" s="720">
        <f t="shared" si="122"/>
        <v>0</v>
      </c>
      <c r="W374" s="718">
        <f t="shared" si="122"/>
        <v>0</v>
      </c>
      <c r="X374" s="719">
        <f t="shared" si="122"/>
        <v>0</v>
      </c>
      <c r="Y374" s="726">
        <f t="shared" si="122"/>
        <v>0</v>
      </c>
      <c r="Z374" s="718">
        <f t="shared" si="122"/>
        <v>0</v>
      </c>
      <c r="AA374" s="719">
        <f t="shared" si="122"/>
        <v>0</v>
      </c>
      <c r="AB374" s="720">
        <f t="shared" si="122"/>
        <v>0</v>
      </c>
      <c r="AC374" s="718">
        <f t="shared" si="122"/>
        <v>0</v>
      </c>
      <c r="AD374" s="734">
        <f t="shared" si="122"/>
        <v>0</v>
      </c>
      <c r="AE374" s="726">
        <f t="shared" si="122"/>
        <v>8000</v>
      </c>
      <c r="AF374" s="718">
        <f t="shared" si="122"/>
        <v>6000</v>
      </c>
      <c r="AG374" s="719">
        <f t="shared" si="122"/>
        <v>6000</v>
      </c>
      <c r="AH374" s="720">
        <f t="shared" si="122"/>
        <v>0</v>
      </c>
      <c r="AI374" s="718">
        <f t="shared" si="122"/>
        <v>0</v>
      </c>
      <c r="AJ374" s="734">
        <f t="shared" si="122"/>
        <v>0</v>
      </c>
      <c r="AK374" s="726">
        <f t="shared" si="122"/>
        <v>0</v>
      </c>
      <c r="AL374" s="718">
        <f t="shared" si="122"/>
        <v>0</v>
      </c>
      <c r="AM374" s="719">
        <f t="shared" si="122"/>
        <v>0</v>
      </c>
      <c r="AN374" s="720">
        <f t="shared" si="122"/>
        <v>2000</v>
      </c>
      <c r="AO374" s="718">
        <f t="shared" si="122"/>
        <v>2000</v>
      </c>
      <c r="AP374" s="734">
        <f t="shared" si="122"/>
        <v>2000</v>
      </c>
      <c r="AQ374" s="726">
        <f t="shared" si="122"/>
        <v>5000</v>
      </c>
      <c r="AR374" s="718">
        <f t="shared" si="122"/>
        <v>4500</v>
      </c>
      <c r="AS374" s="719">
        <f t="shared" si="122"/>
        <v>4500</v>
      </c>
      <c r="AT374" s="720">
        <f t="shared" si="122"/>
        <v>0</v>
      </c>
      <c r="AU374" s="718">
        <f t="shared" si="122"/>
        <v>0</v>
      </c>
      <c r="AV374" s="734">
        <f t="shared" si="122"/>
        <v>0</v>
      </c>
      <c r="AW374" s="726">
        <f t="shared" si="122"/>
        <v>0</v>
      </c>
      <c r="AX374" s="718">
        <f t="shared" si="122"/>
        <v>0</v>
      </c>
      <c r="AY374" s="719">
        <f t="shared" si="122"/>
        <v>0</v>
      </c>
      <c r="AZ374" s="720">
        <f t="shared" si="122"/>
        <v>0</v>
      </c>
      <c r="BA374" s="718">
        <f t="shared" si="122"/>
        <v>0</v>
      </c>
      <c r="BB374" s="734">
        <f t="shared" si="122"/>
        <v>0</v>
      </c>
      <c r="BC374" s="726">
        <f t="shared" si="122"/>
        <v>0</v>
      </c>
      <c r="BD374" s="718">
        <f t="shared" si="122"/>
        <v>0</v>
      </c>
      <c r="BE374" s="719">
        <f t="shared" si="122"/>
        <v>0</v>
      </c>
      <c r="BF374" s="720">
        <f t="shared" si="122"/>
        <v>0</v>
      </c>
      <c r="BG374" s="718">
        <f t="shared" si="122"/>
        <v>0</v>
      </c>
      <c r="BH374" s="734">
        <f t="shared" si="122"/>
        <v>0</v>
      </c>
      <c r="BI374" s="726">
        <f t="shared" si="122"/>
        <v>2000</v>
      </c>
      <c r="BJ374" s="718">
        <f t="shared" si="122"/>
        <v>2000</v>
      </c>
      <c r="BK374" s="719">
        <f t="shared" si="122"/>
        <v>2000</v>
      </c>
      <c r="BL374" s="720">
        <f t="shared" si="122"/>
        <v>2700</v>
      </c>
      <c r="BM374" s="718">
        <f t="shared" si="122"/>
        <v>2700</v>
      </c>
      <c r="BN374" s="734">
        <f t="shared" si="122"/>
        <v>2700</v>
      </c>
      <c r="BO374" s="726">
        <f t="shared" si="122"/>
        <v>0</v>
      </c>
      <c r="BP374" s="718">
        <f t="shared" si="122"/>
        <v>0</v>
      </c>
      <c r="BQ374" s="734">
        <f t="shared" si="122"/>
        <v>0</v>
      </c>
      <c r="BR374" s="726">
        <f t="shared" si="122"/>
        <v>19700</v>
      </c>
      <c r="BS374" s="718">
        <f t="shared" ref="BS374:BW374" si="123">SUM(BS373:BS373)</f>
        <v>17200</v>
      </c>
      <c r="BT374" s="734">
        <f t="shared" si="123"/>
        <v>17200</v>
      </c>
      <c r="BU374" s="726">
        <f t="shared" si="123"/>
        <v>0</v>
      </c>
      <c r="BV374" s="718">
        <f t="shared" si="123"/>
        <v>0</v>
      </c>
      <c r="BW374" s="719">
        <f t="shared" si="123"/>
        <v>0</v>
      </c>
    </row>
    <row r="375" spans="1:75" s="733" customFormat="1" ht="48">
      <c r="A375" s="519" t="s">
        <v>16</v>
      </c>
      <c r="B375" s="521">
        <v>81</v>
      </c>
      <c r="C375" s="749" t="s">
        <v>733</v>
      </c>
      <c r="D375" s="521">
        <v>8181</v>
      </c>
      <c r="E375" s="522" t="s">
        <v>718</v>
      </c>
      <c r="F375" s="750"/>
      <c r="G375" s="727">
        <f t="shared" ref="G375:I376" si="124">BR375+BU375</f>
        <v>20000000</v>
      </c>
      <c r="H375" s="728">
        <f t="shared" si="124"/>
        <v>15000000</v>
      </c>
      <c r="I375" s="729">
        <f t="shared" si="124"/>
        <v>10000000</v>
      </c>
      <c r="J375" s="500"/>
      <c r="K375" s="501"/>
      <c r="L375" s="502"/>
      <c r="M375" s="503"/>
      <c r="N375" s="501"/>
      <c r="O375" s="504"/>
      <c r="P375" s="500"/>
      <c r="Q375" s="501"/>
      <c r="R375" s="502"/>
      <c r="S375" s="503"/>
      <c r="T375" s="501"/>
      <c r="U375" s="504"/>
      <c r="V375" s="500"/>
      <c r="W375" s="501"/>
      <c r="X375" s="504"/>
      <c r="Y375" s="505">
        <f t="shared" ref="Y375:AA376" si="125">J375+M375+P375+S375+V375</f>
        <v>0</v>
      </c>
      <c r="Z375" s="506">
        <f t="shared" si="125"/>
        <v>0</v>
      </c>
      <c r="AA375" s="507">
        <f t="shared" si="125"/>
        <v>0</v>
      </c>
      <c r="AB375" s="500"/>
      <c r="AC375" s="501"/>
      <c r="AD375" s="502"/>
      <c r="AE375" s="503">
        <v>20000000</v>
      </c>
      <c r="AF375" s="501">
        <v>15000000</v>
      </c>
      <c r="AG375" s="504">
        <v>10000000</v>
      </c>
      <c r="AH375" s="500"/>
      <c r="AI375" s="501"/>
      <c r="AJ375" s="502"/>
      <c r="AK375" s="503"/>
      <c r="AL375" s="501"/>
      <c r="AM375" s="504"/>
      <c r="AN375" s="500"/>
      <c r="AO375" s="501"/>
      <c r="AP375" s="502"/>
      <c r="AQ375" s="503"/>
      <c r="AR375" s="501"/>
      <c r="AS375" s="504"/>
      <c r="AT375" s="500"/>
      <c r="AU375" s="501"/>
      <c r="AV375" s="502"/>
      <c r="AW375" s="503"/>
      <c r="AX375" s="501"/>
      <c r="AY375" s="504"/>
      <c r="AZ375" s="500"/>
      <c r="BA375" s="501"/>
      <c r="BB375" s="502"/>
      <c r="BC375" s="503"/>
      <c r="BD375" s="501"/>
      <c r="BE375" s="504"/>
      <c r="BF375" s="500"/>
      <c r="BG375" s="501"/>
      <c r="BH375" s="502"/>
      <c r="BI375" s="503"/>
      <c r="BJ375" s="501"/>
      <c r="BK375" s="504"/>
      <c r="BL375" s="500"/>
      <c r="BM375" s="501"/>
      <c r="BN375" s="502"/>
      <c r="BO375" s="503"/>
      <c r="BP375" s="501"/>
      <c r="BQ375" s="502"/>
      <c r="BR375" s="751">
        <f t="shared" ref="BR375:BT376" si="126">AB375+AE375+AH375+AK375+AN375+AQ375+AT375+AW375+AZ375+BC375+BF375+BI375+BL375+BO375+Y375</f>
        <v>20000000</v>
      </c>
      <c r="BS375" s="752">
        <f t="shared" si="126"/>
        <v>15000000</v>
      </c>
      <c r="BT375" s="753">
        <f t="shared" si="126"/>
        <v>10000000</v>
      </c>
      <c r="BU375" s="503"/>
      <c r="BV375" s="501"/>
      <c r="BW375" s="504"/>
    </row>
    <row r="376" spans="1:75" s="733" customFormat="1" ht="36">
      <c r="A376" s="519" t="s">
        <v>16</v>
      </c>
      <c r="B376" s="521">
        <v>84</v>
      </c>
      <c r="C376" s="749" t="s">
        <v>733</v>
      </c>
      <c r="D376" s="521">
        <v>84</v>
      </c>
      <c r="E376" s="522" t="s">
        <v>787</v>
      </c>
      <c r="F376" s="750"/>
      <c r="G376" s="727">
        <f t="shared" si="124"/>
        <v>0</v>
      </c>
      <c r="H376" s="728">
        <f t="shared" si="124"/>
        <v>0</v>
      </c>
      <c r="I376" s="729">
        <f t="shared" si="124"/>
        <v>0</v>
      </c>
      <c r="J376" s="500"/>
      <c r="K376" s="501"/>
      <c r="L376" s="502"/>
      <c r="M376" s="503"/>
      <c r="N376" s="501"/>
      <c r="O376" s="504"/>
      <c r="P376" s="500"/>
      <c r="Q376" s="501"/>
      <c r="R376" s="502"/>
      <c r="S376" s="503"/>
      <c r="T376" s="501"/>
      <c r="U376" s="504"/>
      <c r="V376" s="500"/>
      <c r="W376" s="501"/>
      <c r="X376" s="504"/>
      <c r="Y376" s="505">
        <f t="shared" si="125"/>
        <v>0</v>
      </c>
      <c r="Z376" s="506">
        <f t="shared" si="125"/>
        <v>0</v>
      </c>
      <c r="AA376" s="507">
        <f t="shared" si="125"/>
        <v>0</v>
      </c>
      <c r="AB376" s="500"/>
      <c r="AC376" s="501"/>
      <c r="AD376" s="502"/>
      <c r="AE376" s="503"/>
      <c r="AF376" s="501"/>
      <c r="AG376" s="504"/>
      <c r="AH376" s="500"/>
      <c r="AI376" s="501"/>
      <c r="AJ376" s="502"/>
      <c r="AK376" s="503"/>
      <c r="AL376" s="501"/>
      <c r="AM376" s="504"/>
      <c r="AN376" s="500"/>
      <c r="AO376" s="501"/>
      <c r="AP376" s="502"/>
      <c r="AQ376" s="503"/>
      <c r="AR376" s="501"/>
      <c r="AS376" s="504"/>
      <c r="AT376" s="500"/>
      <c r="AU376" s="501"/>
      <c r="AV376" s="502"/>
      <c r="AW376" s="503"/>
      <c r="AX376" s="501"/>
      <c r="AY376" s="504"/>
      <c r="AZ376" s="500"/>
      <c r="BA376" s="501"/>
      <c r="BB376" s="502"/>
      <c r="BC376" s="503"/>
      <c r="BD376" s="501"/>
      <c r="BE376" s="504"/>
      <c r="BF376" s="500"/>
      <c r="BG376" s="501"/>
      <c r="BH376" s="502"/>
      <c r="BI376" s="503"/>
      <c r="BJ376" s="501"/>
      <c r="BK376" s="504"/>
      <c r="BL376" s="500"/>
      <c r="BM376" s="501"/>
      <c r="BN376" s="502"/>
      <c r="BO376" s="503"/>
      <c r="BP376" s="501"/>
      <c r="BQ376" s="502"/>
      <c r="BR376" s="751">
        <f t="shared" si="126"/>
        <v>0</v>
      </c>
      <c r="BS376" s="752">
        <f t="shared" si="126"/>
        <v>0</v>
      </c>
      <c r="BT376" s="753">
        <f t="shared" si="126"/>
        <v>0</v>
      </c>
      <c r="BU376" s="503"/>
      <c r="BV376" s="501"/>
      <c r="BW376" s="504"/>
    </row>
    <row r="377" spans="1:75" s="733" customFormat="1" ht="36">
      <c r="A377" s="712" t="s">
        <v>16</v>
      </c>
      <c r="B377" s="713">
        <v>8</v>
      </c>
      <c r="C377" s="754" t="s">
        <v>733</v>
      </c>
      <c r="D377" s="713"/>
      <c r="E377" s="715" t="s">
        <v>786</v>
      </c>
      <c r="F377" s="716"/>
      <c r="G377" s="726">
        <f t="shared" ref="G377:BR377" si="127">G375</f>
        <v>20000000</v>
      </c>
      <c r="H377" s="718">
        <f t="shared" si="127"/>
        <v>15000000</v>
      </c>
      <c r="I377" s="719">
        <f t="shared" si="127"/>
        <v>10000000</v>
      </c>
      <c r="J377" s="720">
        <f t="shared" si="127"/>
        <v>0</v>
      </c>
      <c r="K377" s="718">
        <f t="shared" si="127"/>
        <v>0</v>
      </c>
      <c r="L377" s="734">
        <f t="shared" si="127"/>
        <v>0</v>
      </c>
      <c r="M377" s="726">
        <f t="shared" si="127"/>
        <v>0</v>
      </c>
      <c r="N377" s="718">
        <f t="shared" si="127"/>
        <v>0</v>
      </c>
      <c r="O377" s="719">
        <f t="shared" si="127"/>
        <v>0</v>
      </c>
      <c r="P377" s="720">
        <f t="shared" si="127"/>
        <v>0</v>
      </c>
      <c r="Q377" s="718">
        <f t="shared" si="127"/>
        <v>0</v>
      </c>
      <c r="R377" s="734">
        <f t="shared" si="127"/>
        <v>0</v>
      </c>
      <c r="S377" s="726">
        <f t="shared" si="127"/>
        <v>0</v>
      </c>
      <c r="T377" s="718">
        <f t="shared" si="127"/>
        <v>0</v>
      </c>
      <c r="U377" s="719">
        <f t="shared" si="127"/>
        <v>0</v>
      </c>
      <c r="V377" s="720">
        <f t="shared" si="127"/>
        <v>0</v>
      </c>
      <c r="W377" s="718">
        <f t="shared" si="127"/>
        <v>0</v>
      </c>
      <c r="X377" s="719">
        <f t="shared" si="127"/>
        <v>0</v>
      </c>
      <c r="Y377" s="726">
        <f t="shared" si="127"/>
        <v>0</v>
      </c>
      <c r="Z377" s="718">
        <f t="shared" si="127"/>
        <v>0</v>
      </c>
      <c r="AA377" s="719">
        <f t="shared" si="127"/>
        <v>0</v>
      </c>
      <c r="AB377" s="720">
        <f t="shared" si="127"/>
        <v>0</v>
      </c>
      <c r="AC377" s="718">
        <f t="shared" si="127"/>
        <v>0</v>
      </c>
      <c r="AD377" s="734">
        <f t="shared" si="127"/>
        <v>0</v>
      </c>
      <c r="AE377" s="726">
        <f t="shared" si="127"/>
        <v>20000000</v>
      </c>
      <c r="AF377" s="718">
        <f t="shared" si="127"/>
        <v>15000000</v>
      </c>
      <c r="AG377" s="719">
        <f t="shared" si="127"/>
        <v>10000000</v>
      </c>
      <c r="AH377" s="720">
        <f t="shared" si="127"/>
        <v>0</v>
      </c>
      <c r="AI377" s="718">
        <f t="shared" si="127"/>
        <v>0</v>
      </c>
      <c r="AJ377" s="734">
        <f t="shared" si="127"/>
        <v>0</v>
      </c>
      <c r="AK377" s="726">
        <f t="shared" si="127"/>
        <v>0</v>
      </c>
      <c r="AL377" s="718">
        <f t="shared" si="127"/>
        <v>0</v>
      </c>
      <c r="AM377" s="719">
        <f t="shared" si="127"/>
        <v>0</v>
      </c>
      <c r="AN377" s="720">
        <f t="shared" si="127"/>
        <v>0</v>
      </c>
      <c r="AO377" s="718">
        <f t="shared" si="127"/>
        <v>0</v>
      </c>
      <c r="AP377" s="734">
        <f t="shared" si="127"/>
        <v>0</v>
      </c>
      <c r="AQ377" s="726">
        <f t="shared" si="127"/>
        <v>0</v>
      </c>
      <c r="AR377" s="718">
        <f t="shared" si="127"/>
        <v>0</v>
      </c>
      <c r="AS377" s="719">
        <f t="shared" si="127"/>
        <v>0</v>
      </c>
      <c r="AT377" s="720">
        <f t="shared" si="127"/>
        <v>0</v>
      </c>
      <c r="AU377" s="718">
        <f t="shared" si="127"/>
        <v>0</v>
      </c>
      <c r="AV377" s="734">
        <f t="shared" si="127"/>
        <v>0</v>
      </c>
      <c r="AW377" s="726">
        <f t="shared" si="127"/>
        <v>0</v>
      </c>
      <c r="AX377" s="718">
        <f t="shared" si="127"/>
        <v>0</v>
      </c>
      <c r="AY377" s="719">
        <f t="shared" si="127"/>
        <v>0</v>
      </c>
      <c r="AZ377" s="720">
        <f t="shared" si="127"/>
        <v>0</v>
      </c>
      <c r="BA377" s="718">
        <f t="shared" si="127"/>
        <v>0</v>
      </c>
      <c r="BB377" s="734">
        <f t="shared" si="127"/>
        <v>0</v>
      </c>
      <c r="BC377" s="726">
        <f t="shared" si="127"/>
        <v>0</v>
      </c>
      <c r="BD377" s="718">
        <f t="shared" si="127"/>
        <v>0</v>
      </c>
      <c r="BE377" s="719">
        <f t="shared" si="127"/>
        <v>0</v>
      </c>
      <c r="BF377" s="720">
        <f t="shared" si="127"/>
        <v>0</v>
      </c>
      <c r="BG377" s="718">
        <f t="shared" si="127"/>
        <v>0</v>
      </c>
      <c r="BH377" s="734">
        <f t="shared" si="127"/>
        <v>0</v>
      </c>
      <c r="BI377" s="726">
        <f t="shared" si="127"/>
        <v>0</v>
      </c>
      <c r="BJ377" s="718">
        <f t="shared" si="127"/>
        <v>0</v>
      </c>
      <c r="BK377" s="719">
        <f t="shared" si="127"/>
        <v>0</v>
      </c>
      <c r="BL377" s="720">
        <f t="shared" si="127"/>
        <v>0</v>
      </c>
      <c r="BM377" s="718">
        <f t="shared" si="127"/>
        <v>0</v>
      </c>
      <c r="BN377" s="734">
        <f t="shared" si="127"/>
        <v>0</v>
      </c>
      <c r="BO377" s="726">
        <f t="shared" si="127"/>
        <v>0</v>
      </c>
      <c r="BP377" s="718">
        <f t="shared" si="127"/>
        <v>0</v>
      </c>
      <c r="BQ377" s="734">
        <f t="shared" si="127"/>
        <v>0</v>
      </c>
      <c r="BR377" s="726">
        <f t="shared" si="127"/>
        <v>20000000</v>
      </c>
      <c r="BS377" s="718">
        <f t="shared" ref="BS377:BW377" si="128">BS375</f>
        <v>15000000</v>
      </c>
      <c r="BT377" s="734">
        <f t="shared" si="128"/>
        <v>10000000</v>
      </c>
      <c r="BU377" s="726">
        <f t="shared" si="128"/>
        <v>0</v>
      </c>
      <c r="BV377" s="718">
        <f t="shared" si="128"/>
        <v>0</v>
      </c>
      <c r="BW377" s="719">
        <f t="shared" si="128"/>
        <v>0</v>
      </c>
    </row>
    <row r="378" spans="1:75" s="733" customFormat="1" ht="36">
      <c r="A378" s="519" t="s">
        <v>16</v>
      </c>
      <c r="B378" s="521">
        <v>561</v>
      </c>
      <c r="C378" s="520" t="s">
        <v>38</v>
      </c>
      <c r="D378" s="521">
        <v>632310561</v>
      </c>
      <c r="E378" s="522" t="s">
        <v>745</v>
      </c>
      <c r="F378" s="523"/>
      <c r="G378" s="755">
        <f>BR378+BU378</f>
        <v>1836332</v>
      </c>
      <c r="H378" s="728">
        <f>BS378+BV378</f>
        <v>38890</v>
      </c>
      <c r="I378" s="729">
        <f>BT378+BW378</f>
        <v>0</v>
      </c>
      <c r="J378" s="500"/>
      <c r="K378" s="501"/>
      <c r="L378" s="502"/>
      <c r="M378" s="503"/>
      <c r="N378" s="501"/>
      <c r="O378" s="504"/>
      <c r="P378" s="500"/>
      <c r="Q378" s="501"/>
      <c r="R378" s="502"/>
      <c r="S378" s="503"/>
      <c r="T378" s="501"/>
      <c r="U378" s="504"/>
      <c r="V378" s="500"/>
      <c r="W378" s="501"/>
      <c r="X378" s="504"/>
      <c r="Y378" s="505">
        <f>J378+M378+P378+S378+V378</f>
        <v>0</v>
      </c>
      <c r="Z378" s="506">
        <f>K378+N378+Q378+T378+W378</f>
        <v>0</v>
      </c>
      <c r="AA378" s="507">
        <f>L378+O378+R378+U378+X378</f>
        <v>0</v>
      </c>
      <c r="AB378" s="500"/>
      <c r="AC378" s="501"/>
      <c r="AD378" s="502"/>
      <c r="AE378" s="503"/>
      <c r="AF378" s="501"/>
      <c r="AG378" s="504"/>
      <c r="AH378" s="500"/>
      <c r="AI378" s="501"/>
      <c r="AJ378" s="502"/>
      <c r="AK378" s="503"/>
      <c r="AL378" s="501"/>
      <c r="AM378" s="504"/>
      <c r="AN378" s="615">
        <v>825764</v>
      </c>
      <c r="AO378" s="501"/>
      <c r="AP378" s="502"/>
      <c r="AQ378" s="503"/>
      <c r="AR378" s="501"/>
      <c r="AS378" s="504"/>
      <c r="AT378" s="500"/>
      <c r="AU378" s="501"/>
      <c r="AV378" s="502"/>
      <c r="AW378" s="756">
        <v>1010568</v>
      </c>
      <c r="AX378" s="501">
        <v>38890</v>
      </c>
      <c r="AY378" s="504"/>
      <c r="AZ378" s="500"/>
      <c r="BA378" s="501"/>
      <c r="BB378" s="502"/>
      <c r="BC378" s="503"/>
      <c r="BD378" s="501"/>
      <c r="BE378" s="504"/>
      <c r="BF378" s="500"/>
      <c r="BG378" s="501"/>
      <c r="BH378" s="502"/>
      <c r="BI378" s="503"/>
      <c r="BJ378" s="501"/>
      <c r="BK378" s="504"/>
      <c r="BL378" s="500"/>
      <c r="BM378" s="501"/>
      <c r="BN378" s="502"/>
      <c r="BO378" s="503"/>
      <c r="BP378" s="501"/>
      <c r="BQ378" s="502"/>
      <c r="BR378" s="730">
        <f>AB378+AE378+AH378+AK378+AN378+AQ378+AT378+AW378+AZ378+BC378+BF378+BI378+BL378+BO378+Y378</f>
        <v>1836332</v>
      </c>
      <c r="BS378" s="731">
        <f>AC378+AF378+AI378+AL378+AO378+AR378+AU378+AX378+BA378+BD378+BG378+BJ378+BM378+BP378+Z378</f>
        <v>38890</v>
      </c>
      <c r="BT378" s="732">
        <f>AD378+AG378+AJ378+AM378+AP378+AS378+AV378+AY378+BB378+BE378+BH378+BK378+BN378+BQ378+AA378</f>
        <v>0</v>
      </c>
      <c r="BU378" s="503"/>
      <c r="BV378" s="501"/>
      <c r="BW378" s="504"/>
    </row>
    <row r="379" spans="1:75" s="733" customFormat="1" ht="36">
      <c r="A379" s="712" t="s">
        <v>16</v>
      </c>
      <c r="B379" s="713">
        <v>561</v>
      </c>
      <c r="C379" s="714" t="s">
        <v>38</v>
      </c>
      <c r="D379" s="713"/>
      <c r="E379" s="715" t="s">
        <v>692</v>
      </c>
      <c r="F379" s="716"/>
      <c r="G379" s="726">
        <f t="shared" ref="G379:AL379" si="129">SUM(G378:G378)</f>
        <v>1836332</v>
      </c>
      <c r="H379" s="718">
        <f t="shared" si="129"/>
        <v>38890</v>
      </c>
      <c r="I379" s="719">
        <f t="shared" si="129"/>
        <v>0</v>
      </c>
      <c r="J379" s="720">
        <f t="shared" si="129"/>
        <v>0</v>
      </c>
      <c r="K379" s="718">
        <f t="shared" si="129"/>
        <v>0</v>
      </c>
      <c r="L379" s="734">
        <f t="shared" si="129"/>
        <v>0</v>
      </c>
      <c r="M379" s="726">
        <f t="shared" si="129"/>
        <v>0</v>
      </c>
      <c r="N379" s="718">
        <f t="shared" si="129"/>
        <v>0</v>
      </c>
      <c r="O379" s="719">
        <f t="shared" si="129"/>
        <v>0</v>
      </c>
      <c r="P379" s="720">
        <f t="shared" si="129"/>
        <v>0</v>
      </c>
      <c r="Q379" s="718">
        <f t="shared" si="129"/>
        <v>0</v>
      </c>
      <c r="R379" s="734">
        <f t="shared" si="129"/>
        <v>0</v>
      </c>
      <c r="S379" s="726">
        <f t="shared" si="129"/>
        <v>0</v>
      </c>
      <c r="T379" s="718">
        <f t="shared" si="129"/>
        <v>0</v>
      </c>
      <c r="U379" s="719">
        <f t="shared" si="129"/>
        <v>0</v>
      </c>
      <c r="V379" s="720">
        <f t="shared" si="129"/>
        <v>0</v>
      </c>
      <c r="W379" s="718">
        <f t="shared" si="129"/>
        <v>0</v>
      </c>
      <c r="X379" s="719">
        <f t="shared" si="129"/>
        <v>0</v>
      </c>
      <c r="Y379" s="726">
        <f t="shared" si="129"/>
        <v>0</v>
      </c>
      <c r="Z379" s="718">
        <f t="shared" si="129"/>
        <v>0</v>
      </c>
      <c r="AA379" s="719">
        <f t="shared" si="129"/>
        <v>0</v>
      </c>
      <c r="AB379" s="720">
        <f t="shared" si="129"/>
        <v>0</v>
      </c>
      <c r="AC379" s="718">
        <f t="shared" si="129"/>
        <v>0</v>
      </c>
      <c r="AD379" s="734">
        <f t="shared" si="129"/>
        <v>0</v>
      </c>
      <c r="AE379" s="726">
        <f t="shared" si="129"/>
        <v>0</v>
      </c>
      <c r="AF379" s="718">
        <f t="shared" si="129"/>
        <v>0</v>
      </c>
      <c r="AG379" s="719">
        <f t="shared" si="129"/>
        <v>0</v>
      </c>
      <c r="AH379" s="720">
        <f t="shared" si="129"/>
        <v>0</v>
      </c>
      <c r="AI379" s="718">
        <f t="shared" si="129"/>
        <v>0</v>
      </c>
      <c r="AJ379" s="734">
        <f t="shared" si="129"/>
        <v>0</v>
      </c>
      <c r="AK379" s="726">
        <f t="shared" si="129"/>
        <v>0</v>
      </c>
      <c r="AL379" s="718">
        <f t="shared" si="129"/>
        <v>0</v>
      </c>
      <c r="AM379" s="719">
        <f t="shared" ref="AM379:BW379" si="130">SUM(AM378:AM378)</f>
        <v>0</v>
      </c>
      <c r="AN379" s="720">
        <f t="shared" si="130"/>
        <v>825764</v>
      </c>
      <c r="AO379" s="718">
        <f t="shared" si="130"/>
        <v>0</v>
      </c>
      <c r="AP379" s="734">
        <f t="shared" si="130"/>
        <v>0</v>
      </c>
      <c r="AQ379" s="726">
        <f t="shared" si="130"/>
        <v>0</v>
      </c>
      <c r="AR379" s="718">
        <f t="shared" si="130"/>
        <v>0</v>
      </c>
      <c r="AS379" s="719">
        <f t="shared" si="130"/>
        <v>0</v>
      </c>
      <c r="AT379" s="720">
        <f t="shared" si="130"/>
        <v>0</v>
      </c>
      <c r="AU379" s="718">
        <f t="shared" si="130"/>
        <v>0</v>
      </c>
      <c r="AV379" s="734">
        <f t="shared" si="130"/>
        <v>0</v>
      </c>
      <c r="AW379" s="726">
        <f t="shared" si="130"/>
        <v>1010568</v>
      </c>
      <c r="AX379" s="718">
        <f t="shared" si="130"/>
        <v>38890</v>
      </c>
      <c r="AY379" s="719">
        <f t="shared" si="130"/>
        <v>0</v>
      </c>
      <c r="AZ379" s="720">
        <f t="shared" si="130"/>
        <v>0</v>
      </c>
      <c r="BA379" s="718">
        <f t="shared" si="130"/>
        <v>0</v>
      </c>
      <c r="BB379" s="734">
        <f t="shared" si="130"/>
        <v>0</v>
      </c>
      <c r="BC379" s="726">
        <f t="shared" si="130"/>
        <v>0</v>
      </c>
      <c r="BD379" s="718">
        <f t="shared" si="130"/>
        <v>0</v>
      </c>
      <c r="BE379" s="719">
        <f t="shared" si="130"/>
        <v>0</v>
      </c>
      <c r="BF379" s="720">
        <f t="shared" si="130"/>
        <v>0</v>
      </c>
      <c r="BG379" s="718">
        <f t="shared" si="130"/>
        <v>0</v>
      </c>
      <c r="BH379" s="734">
        <f t="shared" si="130"/>
        <v>0</v>
      </c>
      <c r="BI379" s="726">
        <f t="shared" si="130"/>
        <v>0</v>
      </c>
      <c r="BJ379" s="718">
        <f t="shared" si="130"/>
        <v>0</v>
      </c>
      <c r="BK379" s="719">
        <f t="shared" si="130"/>
        <v>0</v>
      </c>
      <c r="BL379" s="720">
        <f t="shared" si="130"/>
        <v>0</v>
      </c>
      <c r="BM379" s="718">
        <f t="shared" si="130"/>
        <v>0</v>
      </c>
      <c r="BN379" s="734">
        <f t="shared" si="130"/>
        <v>0</v>
      </c>
      <c r="BO379" s="726">
        <f t="shared" si="130"/>
        <v>0</v>
      </c>
      <c r="BP379" s="718">
        <f t="shared" si="130"/>
        <v>0</v>
      </c>
      <c r="BQ379" s="734">
        <f t="shared" si="130"/>
        <v>0</v>
      </c>
      <c r="BR379" s="726">
        <f t="shared" si="130"/>
        <v>1836332</v>
      </c>
      <c r="BS379" s="718">
        <f t="shared" si="130"/>
        <v>38890</v>
      </c>
      <c r="BT379" s="734">
        <f t="shared" si="130"/>
        <v>0</v>
      </c>
      <c r="BU379" s="726">
        <f t="shared" si="130"/>
        <v>0</v>
      </c>
      <c r="BV379" s="718">
        <f t="shared" si="130"/>
        <v>0</v>
      </c>
      <c r="BW379" s="719">
        <f t="shared" si="130"/>
        <v>0</v>
      </c>
    </row>
    <row r="380" spans="1:75" s="733" customFormat="1" ht="11.25" customHeight="1">
      <c r="A380" s="519" t="s">
        <v>16</v>
      </c>
      <c r="B380" s="521">
        <v>563</v>
      </c>
      <c r="C380" s="520" t="s">
        <v>39</v>
      </c>
      <c r="D380" s="521">
        <v>632310563</v>
      </c>
      <c r="E380" s="522" t="s">
        <v>743</v>
      </c>
      <c r="F380" s="523"/>
      <c r="G380" s="755">
        <f t="shared" ref="G380:I381" si="131">BR380+BU380</f>
        <v>32903875</v>
      </c>
      <c r="H380" s="757">
        <f t="shared" si="131"/>
        <v>1537188</v>
      </c>
      <c r="I380" s="729">
        <f t="shared" si="131"/>
        <v>0</v>
      </c>
      <c r="J380" s="500">
        <v>19203955</v>
      </c>
      <c r="K380" s="501"/>
      <c r="L380" s="502"/>
      <c r="M380" s="503"/>
      <c r="N380" s="501"/>
      <c r="O380" s="504"/>
      <c r="P380" s="500"/>
      <c r="Q380" s="501"/>
      <c r="R380" s="502"/>
      <c r="S380" s="503"/>
      <c r="T380" s="501"/>
      <c r="U380" s="504"/>
      <c r="V380" s="500"/>
      <c r="W380" s="501"/>
      <c r="X380" s="504"/>
      <c r="Y380" s="505">
        <f t="shared" ref="Y380:AA381" si="132">J380+M380+P380+S380+V380</f>
        <v>19203955</v>
      </c>
      <c r="Z380" s="506">
        <f t="shared" si="132"/>
        <v>0</v>
      </c>
      <c r="AA380" s="507">
        <f t="shared" si="132"/>
        <v>0</v>
      </c>
      <c r="AB380" s="500"/>
      <c r="AC380" s="501"/>
      <c r="AD380" s="502"/>
      <c r="AE380" s="503"/>
      <c r="AF380" s="501"/>
      <c r="AG380" s="504"/>
      <c r="AH380" s="615">
        <v>8416671</v>
      </c>
      <c r="AI380" s="616">
        <v>1537188</v>
      </c>
      <c r="AJ380" s="617">
        <v>0</v>
      </c>
      <c r="AK380" s="503"/>
      <c r="AL380" s="501"/>
      <c r="AM380" s="504"/>
      <c r="AN380" s="615">
        <v>526300</v>
      </c>
      <c r="AO380" s="501"/>
      <c r="AP380" s="502"/>
      <c r="AQ380" s="503"/>
      <c r="AR380" s="501"/>
      <c r="AS380" s="504"/>
      <c r="AT380" s="500"/>
      <c r="AU380" s="501"/>
      <c r="AV380" s="502"/>
      <c r="AW380" s="756">
        <v>659273</v>
      </c>
      <c r="AX380" s="501"/>
      <c r="AY380" s="504"/>
      <c r="AZ380" s="500"/>
      <c r="BA380" s="501"/>
      <c r="BB380" s="502"/>
      <c r="BC380" s="503"/>
      <c r="BD380" s="501"/>
      <c r="BE380" s="504"/>
      <c r="BF380" s="500"/>
      <c r="BG380" s="501"/>
      <c r="BH380" s="502"/>
      <c r="BI380" s="503"/>
      <c r="BJ380" s="501"/>
      <c r="BK380" s="504"/>
      <c r="BL380" s="615">
        <v>4097676</v>
      </c>
      <c r="BM380" s="501"/>
      <c r="BN380" s="502"/>
      <c r="BO380" s="503"/>
      <c r="BP380" s="501"/>
      <c r="BQ380" s="502"/>
      <c r="BR380" s="730">
        <f t="shared" ref="BR380:BT381" si="133">AB380+AE380+AH380+AK380+AN380+AQ380+AT380+AW380+AZ380+BC380+BF380+BI380+BL380+BO380+Y380</f>
        <v>32903875</v>
      </c>
      <c r="BS380" s="731">
        <f t="shared" si="133"/>
        <v>1537188</v>
      </c>
      <c r="BT380" s="732">
        <f t="shared" si="133"/>
        <v>0</v>
      </c>
      <c r="BU380" s="503"/>
      <c r="BV380" s="501"/>
      <c r="BW380" s="504"/>
    </row>
    <row r="381" spans="1:75" s="733" customFormat="1" ht="11.25" customHeight="1">
      <c r="A381" s="519" t="s">
        <v>16</v>
      </c>
      <c r="B381" s="521">
        <v>563</v>
      </c>
      <c r="C381" s="520" t="s">
        <v>39</v>
      </c>
      <c r="D381" s="521">
        <v>632410563</v>
      </c>
      <c r="E381" s="522" t="s">
        <v>744</v>
      </c>
      <c r="F381" s="523"/>
      <c r="G381" s="755">
        <f t="shared" si="131"/>
        <v>10695849</v>
      </c>
      <c r="H381" s="757">
        <f t="shared" si="131"/>
        <v>0</v>
      </c>
      <c r="I381" s="729">
        <f t="shared" si="131"/>
        <v>0</v>
      </c>
      <c r="J381" s="615">
        <v>10695849</v>
      </c>
      <c r="K381" s="501"/>
      <c r="L381" s="502"/>
      <c r="M381" s="503"/>
      <c r="N381" s="501"/>
      <c r="O381" s="504"/>
      <c r="P381" s="500"/>
      <c r="Q381" s="501"/>
      <c r="R381" s="502"/>
      <c r="S381" s="503"/>
      <c r="T381" s="501"/>
      <c r="U381" s="504"/>
      <c r="V381" s="500"/>
      <c r="W381" s="501"/>
      <c r="X381" s="504"/>
      <c r="Y381" s="505">
        <f t="shared" si="132"/>
        <v>10695849</v>
      </c>
      <c r="Z381" s="506">
        <f t="shared" si="132"/>
        <v>0</v>
      </c>
      <c r="AA381" s="507">
        <f t="shared" si="132"/>
        <v>0</v>
      </c>
      <c r="AB381" s="500"/>
      <c r="AC381" s="501"/>
      <c r="AD381" s="502"/>
      <c r="AE381" s="503"/>
      <c r="AF381" s="501"/>
      <c r="AG381" s="504"/>
      <c r="AH381" s="500"/>
      <c r="AI381" s="501"/>
      <c r="AJ381" s="502"/>
      <c r="AK381" s="503"/>
      <c r="AL381" s="501"/>
      <c r="AM381" s="504"/>
      <c r="AN381" s="500"/>
      <c r="AO381" s="501"/>
      <c r="AP381" s="502"/>
      <c r="AQ381" s="503"/>
      <c r="AR381" s="501"/>
      <c r="AS381" s="504"/>
      <c r="AT381" s="500"/>
      <c r="AU381" s="501"/>
      <c r="AV381" s="502"/>
      <c r="AW381" s="503"/>
      <c r="AX381" s="501"/>
      <c r="AY381" s="504"/>
      <c r="AZ381" s="500"/>
      <c r="BA381" s="501"/>
      <c r="BB381" s="502"/>
      <c r="BC381" s="503"/>
      <c r="BD381" s="501"/>
      <c r="BE381" s="504"/>
      <c r="BF381" s="500"/>
      <c r="BG381" s="501"/>
      <c r="BH381" s="502"/>
      <c r="BI381" s="503"/>
      <c r="BJ381" s="501"/>
      <c r="BK381" s="504"/>
      <c r="BL381" s="500"/>
      <c r="BM381" s="501"/>
      <c r="BN381" s="502"/>
      <c r="BO381" s="503"/>
      <c r="BP381" s="501"/>
      <c r="BQ381" s="502"/>
      <c r="BR381" s="730">
        <f t="shared" si="133"/>
        <v>10695849</v>
      </c>
      <c r="BS381" s="731">
        <f t="shared" si="133"/>
        <v>0</v>
      </c>
      <c r="BT381" s="732">
        <f t="shared" si="133"/>
        <v>0</v>
      </c>
      <c r="BU381" s="503"/>
      <c r="BV381" s="501"/>
      <c r="BW381" s="504"/>
    </row>
    <row r="382" spans="1:75" s="733" customFormat="1" ht="11.25" customHeight="1" thickBot="1">
      <c r="A382" s="758" t="s">
        <v>16</v>
      </c>
      <c r="B382" s="759">
        <v>563</v>
      </c>
      <c r="C382" s="760" t="s">
        <v>39</v>
      </c>
      <c r="D382" s="759"/>
      <c r="E382" s="761" t="s">
        <v>692</v>
      </c>
      <c r="F382" s="762"/>
      <c r="G382" s="763">
        <f t="shared" ref="G382:BR382" si="134">SUM(G380:G381)</f>
        <v>43599724</v>
      </c>
      <c r="H382" s="764">
        <f t="shared" si="134"/>
        <v>1537188</v>
      </c>
      <c r="I382" s="765">
        <f t="shared" si="134"/>
        <v>0</v>
      </c>
      <c r="J382" s="766">
        <f t="shared" si="134"/>
        <v>29899804</v>
      </c>
      <c r="K382" s="764">
        <f t="shared" si="134"/>
        <v>0</v>
      </c>
      <c r="L382" s="767">
        <f t="shared" si="134"/>
        <v>0</v>
      </c>
      <c r="M382" s="763">
        <f t="shared" si="134"/>
        <v>0</v>
      </c>
      <c r="N382" s="764">
        <f t="shared" si="134"/>
        <v>0</v>
      </c>
      <c r="O382" s="765">
        <f t="shared" si="134"/>
        <v>0</v>
      </c>
      <c r="P382" s="766">
        <f t="shared" si="134"/>
        <v>0</v>
      </c>
      <c r="Q382" s="764">
        <f t="shared" si="134"/>
        <v>0</v>
      </c>
      <c r="R382" s="767">
        <f t="shared" si="134"/>
        <v>0</v>
      </c>
      <c r="S382" s="763">
        <f t="shared" si="134"/>
        <v>0</v>
      </c>
      <c r="T382" s="764">
        <f t="shared" si="134"/>
        <v>0</v>
      </c>
      <c r="U382" s="765">
        <f t="shared" si="134"/>
        <v>0</v>
      </c>
      <c r="V382" s="766">
        <f t="shared" si="134"/>
        <v>0</v>
      </c>
      <c r="W382" s="764">
        <f t="shared" si="134"/>
        <v>0</v>
      </c>
      <c r="X382" s="765">
        <f t="shared" si="134"/>
        <v>0</v>
      </c>
      <c r="Y382" s="763">
        <f t="shared" si="134"/>
        <v>29899804</v>
      </c>
      <c r="Z382" s="764">
        <f t="shared" si="134"/>
        <v>0</v>
      </c>
      <c r="AA382" s="765">
        <f t="shared" si="134"/>
        <v>0</v>
      </c>
      <c r="AB382" s="766">
        <f t="shared" si="134"/>
        <v>0</v>
      </c>
      <c r="AC382" s="764">
        <f t="shared" si="134"/>
        <v>0</v>
      </c>
      <c r="AD382" s="767">
        <f t="shared" si="134"/>
        <v>0</v>
      </c>
      <c r="AE382" s="763">
        <f t="shared" si="134"/>
        <v>0</v>
      </c>
      <c r="AF382" s="764">
        <f t="shared" si="134"/>
        <v>0</v>
      </c>
      <c r="AG382" s="765">
        <f t="shared" si="134"/>
        <v>0</v>
      </c>
      <c r="AH382" s="766">
        <f t="shared" si="134"/>
        <v>8416671</v>
      </c>
      <c r="AI382" s="764">
        <f t="shared" si="134"/>
        <v>1537188</v>
      </c>
      <c r="AJ382" s="767">
        <f t="shared" si="134"/>
        <v>0</v>
      </c>
      <c r="AK382" s="763">
        <f t="shared" si="134"/>
        <v>0</v>
      </c>
      <c r="AL382" s="764">
        <f t="shared" si="134"/>
        <v>0</v>
      </c>
      <c r="AM382" s="765">
        <f t="shared" si="134"/>
        <v>0</v>
      </c>
      <c r="AN382" s="766">
        <f t="shared" si="134"/>
        <v>526300</v>
      </c>
      <c r="AO382" s="764">
        <f t="shared" si="134"/>
        <v>0</v>
      </c>
      <c r="AP382" s="767">
        <f t="shared" si="134"/>
        <v>0</v>
      </c>
      <c r="AQ382" s="763">
        <f t="shared" si="134"/>
        <v>0</v>
      </c>
      <c r="AR382" s="764">
        <f t="shared" si="134"/>
        <v>0</v>
      </c>
      <c r="AS382" s="765">
        <f t="shared" si="134"/>
        <v>0</v>
      </c>
      <c r="AT382" s="766">
        <f t="shared" si="134"/>
        <v>0</v>
      </c>
      <c r="AU382" s="764">
        <f t="shared" si="134"/>
        <v>0</v>
      </c>
      <c r="AV382" s="767">
        <f t="shared" si="134"/>
        <v>0</v>
      </c>
      <c r="AW382" s="763">
        <f t="shared" si="134"/>
        <v>659273</v>
      </c>
      <c r="AX382" s="764">
        <f t="shared" si="134"/>
        <v>0</v>
      </c>
      <c r="AY382" s="765">
        <f t="shared" si="134"/>
        <v>0</v>
      </c>
      <c r="AZ382" s="766">
        <f t="shared" si="134"/>
        <v>0</v>
      </c>
      <c r="BA382" s="764">
        <f t="shared" si="134"/>
        <v>0</v>
      </c>
      <c r="BB382" s="767">
        <f t="shared" si="134"/>
        <v>0</v>
      </c>
      <c r="BC382" s="763">
        <f t="shared" si="134"/>
        <v>0</v>
      </c>
      <c r="BD382" s="764">
        <f t="shared" si="134"/>
        <v>0</v>
      </c>
      <c r="BE382" s="765">
        <f t="shared" si="134"/>
        <v>0</v>
      </c>
      <c r="BF382" s="766">
        <f t="shared" si="134"/>
        <v>0</v>
      </c>
      <c r="BG382" s="764">
        <f t="shared" si="134"/>
        <v>0</v>
      </c>
      <c r="BH382" s="767">
        <f t="shared" si="134"/>
        <v>0</v>
      </c>
      <c r="BI382" s="763">
        <f t="shared" si="134"/>
        <v>0</v>
      </c>
      <c r="BJ382" s="764">
        <f t="shared" si="134"/>
        <v>0</v>
      </c>
      <c r="BK382" s="765">
        <f t="shared" si="134"/>
        <v>0</v>
      </c>
      <c r="BL382" s="766">
        <f t="shared" si="134"/>
        <v>4097676</v>
      </c>
      <c r="BM382" s="764">
        <f t="shared" si="134"/>
        <v>0</v>
      </c>
      <c r="BN382" s="767">
        <f t="shared" si="134"/>
        <v>0</v>
      </c>
      <c r="BO382" s="763">
        <f t="shared" si="134"/>
        <v>0</v>
      </c>
      <c r="BP382" s="764">
        <f t="shared" si="134"/>
        <v>0</v>
      </c>
      <c r="BQ382" s="767">
        <f t="shared" si="134"/>
        <v>0</v>
      </c>
      <c r="BR382" s="763">
        <f t="shared" si="134"/>
        <v>43599724</v>
      </c>
      <c r="BS382" s="764">
        <f t="shared" ref="BS382:BW382" si="135">SUM(BS380:BS381)</f>
        <v>1537188</v>
      </c>
      <c r="BT382" s="767">
        <f t="shared" si="135"/>
        <v>0</v>
      </c>
      <c r="BU382" s="763">
        <f t="shared" si="135"/>
        <v>0</v>
      </c>
      <c r="BV382" s="764">
        <f t="shared" si="135"/>
        <v>0</v>
      </c>
      <c r="BW382" s="765">
        <f t="shared" si="135"/>
        <v>0</v>
      </c>
    </row>
    <row r="383" spans="1:75" s="733" customFormat="1" ht="24" customHeight="1" thickBot="1">
      <c r="A383" s="669" t="s">
        <v>16</v>
      </c>
      <c r="B383" s="671"/>
      <c r="C383" s="670" t="s">
        <v>16</v>
      </c>
      <c r="D383" s="671"/>
      <c r="E383" s="672" t="s">
        <v>688</v>
      </c>
      <c r="F383" s="673"/>
      <c r="G383" s="768">
        <f t="shared" ref="G383:BR383" si="136">G342+G343+G350+G354+G356+G365+G371+G374+G379+G382+G372+G377</f>
        <v>619407899</v>
      </c>
      <c r="H383" s="769">
        <f t="shared" si="136"/>
        <v>556160012</v>
      </c>
      <c r="I383" s="770">
        <f t="shared" si="136"/>
        <v>547783182</v>
      </c>
      <c r="J383" s="771">
        <f t="shared" si="136"/>
        <v>60330019</v>
      </c>
      <c r="K383" s="769">
        <f t="shared" si="136"/>
        <v>29708338</v>
      </c>
      <c r="L383" s="772">
        <f t="shared" si="136"/>
        <v>30012906</v>
      </c>
      <c r="M383" s="768">
        <f t="shared" si="136"/>
        <v>16179108</v>
      </c>
      <c r="N383" s="769">
        <f t="shared" si="136"/>
        <v>16043290</v>
      </c>
      <c r="O383" s="770">
        <f t="shared" si="136"/>
        <v>15473121</v>
      </c>
      <c r="P383" s="771">
        <f t="shared" si="136"/>
        <v>6757554</v>
      </c>
      <c r="Q383" s="769">
        <f t="shared" si="136"/>
        <v>6804300</v>
      </c>
      <c r="R383" s="772">
        <f t="shared" si="136"/>
        <v>6804507</v>
      </c>
      <c r="S383" s="768">
        <f t="shared" si="136"/>
        <v>8473750</v>
      </c>
      <c r="T383" s="769">
        <f t="shared" si="136"/>
        <v>8238084</v>
      </c>
      <c r="U383" s="770">
        <f t="shared" si="136"/>
        <v>7972423</v>
      </c>
      <c r="V383" s="771">
        <f t="shared" si="136"/>
        <v>13230459</v>
      </c>
      <c r="W383" s="769">
        <f t="shared" si="136"/>
        <v>13535147</v>
      </c>
      <c r="X383" s="770">
        <f t="shared" si="136"/>
        <v>13560484</v>
      </c>
      <c r="Y383" s="768">
        <f t="shared" si="136"/>
        <v>104970890</v>
      </c>
      <c r="Z383" s="769">
        <f t="shared" si="136"/>
        <v>74329159</v>
      </c>
      <c r="AA383" s="770">
        <f t="shared" si="136"/>
        <v>73823441</v>
      </c>
      <c r="AB383" s="771">
        <f t="shared" si="136"/>
        <v>34866579</v>
      </c>
      <c r="AC383" s="769">
        <f t="shared" si="136"/>
        <v>34937973</v>
      </c>
      <c r="AD383" s="772">
        <f t="shared" si="136"/>
        <v>34779760</v>
      </c>
      <c r="AE383" s="768">
        <f t="shared" si="136"/>
        <v>56797215</v>
      </c>
      <c r="AF383" s="769">
        <f t="shared" si="136"/>
        <v>49529783</v>
      </c>
      <c r="AG383" s="770">
        <f t="shared" si="136"/>
        <v>43851778</v>
      </c>
      <c r="AH383" s="771">
        <f t="shared" si="136"/>
        <v>76477196</v>
      </c>
      <c r="AI383" s="769">
        <f t="shared" si="136"/>
        <v>59916119</v>
      </c>
      <c r="AJ383" s="772">
        <f t="shared" si="136"/>
        <v>57550603</v>
      </c>
      <c r="AK383" s="768">
        <f t="shared" si="136"/>
        <v>34341007</v>
      </c>
      <c r="AL383" s="769">
        <f t="shared" si="136"/>
        <v>34688802</v>
      </c>
      <c r="AM383" s="770">
        <f t="shared" si="136"/>
        <v>34854181</v>
      </c>
      <c r="AN383" s="771">
        <f t="shared" si="136"/>
        <v>43414395</v>
      </c>
      <c r="AO383" s="769">
        <f t="shared" si="136"/>
        <v>40487829</v>
      </c>
      <c r="AP383" s="772">
        <f t="shared" si="136"/>
        <v>40271739</v>
      </c>
      <c r="AQ383" s="768">
        <f t="shared" si="136"/>
        <v>53058658</v>
      </c>
      <c r="AR383" s="769">
        <f t="shared" si="136"/>
        <v>52652010</v>
      </c>
      <c r="AS383" s="770">
        <f t="shared" si="136"/>
        <v>52662843</v>
      </c>
      <c r="AT383" s="771">
        <f t="shared" si="136"/>
        <v>23527201</v>
      </c>
      <c r="AU383" s="769">
        <f t="shared" si="136"/>
        <v>24120943</v>
      </c>
      <c r="AV383" s="772">
        <f t="shared" si="136"/>
        <v>24171343</v>
      </c>
      <c r="AW383" s="768">
        <f t="shared" si="136"/>
        <v>28571023</v>
      </c>
      <c r="AX383" s="769">
        <f t="shared" si="136"/>
        <v>26511990</v>
      </c>
      <c r="AY383" s="770">
        <f t="shared" si="136"/>
        <v>26451096</v>
      </c>
      <c r="AZ383" s="771">
        <f t="shared" si="136"/>
        <v>8604638</v>
      </c>
      <c r="BA383" s="769">
        <f t="shared" si="136"/>
        <v>8701359</v>
      </c>
      <c r="BB383" s="772">
        <f t="shared" si="136"/>
        <v>8705435</v>
      </c>
      <c r="BC383" s="768">
        <f t="shared" si="136"/>
        <v>5717087</v>
      </c>
      <c r="BD383" s="769">
        <f t="shared" si="136"/>
        <v>5822875</v>
      </c>
      <c r="BE383" s="770">
        <f t="shared" si="136"/>
        <v>5827380</v>
      </c>
      <c r="BF383" s="771">
        <f t="shared" si="136"/>
        <v>33518680</v>
      </c>
      <c r="BG383" s="769">
        <f t="shared" si="136"/>
        <v>33797099</v>
      </c>
      <c r="BH383" s="772">
        <f t="shared" si="136"/>
        <v>34299975</v>
      </c>
      <c r="BI383" s="768">
        <f t="shared" si="136"/>
        <v>32760623</v>
      </c>
      <c r="BJ383" s="769">
        <f t="shared" si="136"/>
        <v>35191635</v>
      </c>
      <c r="BK383" s="770">
        <f t="shared" si="136"/>
        <v>35409600</v>
      </c>
      <c r="BL383" s="771">
        <f t="shared" si="136"/>
        <v>34728724</v>
      </c>
      <c r="BM383" s="769">
        <f t="shared" si="136"/>
        <v>26810553</v>
      </c>
      <c r="BN383" s="772">
        <f t="shared" si="136"/>
        <v>26490169</v>
      </c>
      <c r="BO383" s="768">
        <f t="shared" si="136"/>
        <v>8323983</v>
      </c>
      <c r="BP383" s="769">
        <f t="shared" si="136"/>
        <v>8931883</v>
      </c>
      <c r="BQ383" s="772">
        <f t="shared" si="136"/>
        <v>8903839</v>
      </c>
      <c r="BR383" s="768">
        <f t="shared" si="136"/>
        <v>579677899</v>
      </c>
      <c r="BS383" s="769">
        <f t="shared" ref="BS383:BW383" si="137">BS342+BS343+BS350+BS354+BS356+BS365+BS371+BS374+BS379+BS382+BS372+BS377</f>
        <v>516430012</v>
      </c>
      <c r="BT383" s="772">
        <f t="shared" si="137"/>
        <v>508053182</v>
      </c>
      <c r="BU383" s="768">
        <f t="shared" si="137"/>
        <v>39730000</v>
      </c>
      <c r="BV383" s="769">
        <f t="shared" si="137"/>
        <v>39730000</v>
      </c>
      <c r="BW383" s="770">
        <f t="shared" si="137"/>
        <v>39730000</v>
      </c>
    </row>
    <row r="384" spans="1:75" ht="12.75" thickBot="1">
      <c r="A384" s="982"/>
      <c r="B384" s="982"/>
      <c r="C384" s="982"/>
      <c r="D384" s="982"/>
      <c r="E384" s="982"/>
      <c r="F384" s="982"/>
      <c r="G384" s="982"/>
      <c r="H384" s="982"/>
      <c r="I384" s="982"/>
    </row>
    <row r="385" spans="1:75" ht="12.75" thickBot="1">
      <c r="A385" s="983" t="s">
        <v>15</v>
      </c>
      <c r="B385" s="984"/>
      <c r="C385" s="984"/>
      <c r="D385" s="984"/>
      <c r="E385" s="984"/>
      <c r="F385" s="984"/>
      <c r="G385" s="984"/>
      <c r="H385" s="984"/>
      <c r="I385" s="984"/>
      <c r="J385" s="773"/>
      <c r="K385" s="773"/>
      <c r="L385" s="773"/>
      <c r="M385" s="774"/>
      <c r="N385" s="773"/>
      <c r="O385" s="775"/>
      <c r="P385" s="773"/>
      <c r="Q385" s="773"/>
      <c r="R385" s="773"/>
      <c r="S385" s="774"/>
      <c r="T385" s="773"/>
      <c r="U385" s="775"/>
      <c r="V385" s="776"/>
      <c r="W385" s="776"/>
      <c r="X385" s="776"/>
      <c r="Y385" s="777"/>
      <c r="Z385" s="778"/>
      <c r="AA385" s="779"/>
      <c r="AB385" s="773"/>
      <c r="AC385" s="773"/>
      <c r="AD385" s="773"/>
      <c r="AE385" s="774"/>
      <c r="AF385" s="773"/>
      <c r="AG385" s="775"/>
      <c r="AH385" s="773"/>
      <c r="AI385" s="773"/>
      <c r="AJ385" s="773"/>
      <c r="AK385" s="774"/>
      <c r="AL385" s="773"/>
      <c r="AM385" s="775"/>
      <c r="AN385" s="773"/>
      <c r="AO385" s="773"/>
      <c r="AP385" s="773"/>
      <c r="AQ385" s="774"/>
      <c r="AR385" s="773"/>
      <c r="AS385" s="775"/>
      <c r="AT385" s="773"/>
      <c r="AU385" s="773"/>
      <c r="AV385" s="773"/>
      <c r="AW385" s="774"/>
      <c r="AX385" s="773"/>
      <c r="AY385" s="775"/>
      <c r="AZ385" s="773"/>
      <c r="BA385" s="773"/>
      <c r="BB385" s="773"/>
      <c r="BC385" s="774"/>
      <c r="BD385" s="773"/>
      <c r="BE385" s="775"/>
      <c r="BF385" s="773"/>
      <c r="BG385" s="773"/>
      <c r="BH385" s="773"/>
      <c r="BI385" s="774"/>
      <c r="BJ385" s="773"/>
      <c r="BK385" s="775"/>
      <c r="BL385" s="773"/>
      <c r="BM385" s="773"/>
      <c r="BN385" s="773"/>
      <c r="BO385" s="774"/>
      <c r="BP385" s="773"/>
      <c r="BQ385" s="775"/>
      <c r="BR385" s="780"/>
      <c r="BS385" s="780"/>
      <c r="BT385" s="780"/>
      <c r="BU385" s="774"/>
      <c r="BV385" s="773"/>
      <c r="BW385" s="775"/>
    </row>
    <row r="386" spans="1:75" s="799" customFormat="1">
      <c r="A386" s="781" t="s">
        <v>16</v>
      </c>
      <c r="B386" s="782"/>
      <c r="C386" s="783"/>
      <c r="D386" s="783"/>
      <c r="E386" s="783" t="s">
        <v>699</v>
      </c>
      <c r="F386" s="784"/>
      <c r="G386" s="785">
        <f t="shared" ref="G386:BR386" si="138">G383</f>
        <v>619407899</v>
      </c>
      <c r="H386" s="786">
        <f t="shared" si="138"/>
        <v>556160012</v>
      </c>
      <c r="I386" s="787">
        <f t="shared" si="138"/>
        <v>547783182</v>
      </c>
      <c r="J386" s="788">
        <f t="shared" si="138"/>
        <v>60330019</v>
      </c>
      <c r="K386" s="789">
        <f t="shared" si="138"/>
        <v>29708338</v>
      </c>
      <c r="L386" s="789">
        <f t="shared" si="138"/>
        <v>30012906</v>
      </c>
      <c r="M386" s="790">
        <f t="shared" si="138"/>
        <v>16179108</v>
      </c>
      <c r="N386" s="789">
        <f t="shared" si="138"/>
        <v>16043290</v>
      </c>
      <c r="O386" s="791">
        <f t="shared" si="138"/>
        <v>15473121</v>
      </c>
      <c r="P386" s="788">
        <f t="shared" si="138"/>
        <v>6757554</v>
      </c>
      <c r="Q386" s="789">
        <f t="shared" si="138"/>
        <v>6804300</v>
      </c>
      <c r="R386" s="789">
        <f t="shared" si="138"/>
        <v>6804507</v>
      </c>
      <c r="S386" s="790">
        <f t="shared" si="138"/>
        <v>8473750</v>
      </c>
      <c r="T386" s="789">
        <f t="shared" si="138"/>
        <v>8238084</v>
      </c>
      <c r="U386" s="789">
        <f t="shared" si="138"/>
        <v>7972423</v>
      </c>
      <c r="V386" s="792">
        <f t="shared" si="138"/>
        <v>13230459</v>
      </c>
      <c r="W386" s="793">
        <f t="shared" si="138"/>
        <v>13535147</v>
      </c>
      <c r="X386" s="786">
        <f t="shared" si="138"/>
        <v>13560484</v>
      </c>
      <c r="Y386" s="794">
        <f t="shared" si="138"/>
        <v>104970890</v>
      </c>
      <c r="Z386" s="795">
        <f t="shared" si="138"/>
        <v>74329159</v>
      </c>
      <c r="AA386" s="796">
        <f t="shared" si="138"/>
        <v>73823441</v>
      </c>
      <c r="AB386" s="788">
        <f t="shared" si="138"/>
        <v>34866579</v>
      </c>
      <c r="AC386" s="789">
        <f t="shared" si="138"/>
        <v>34937973</v>
      </c>
      <c r="AD386" s="789">
        <f t="shared" si="138"/>
        <v>34779760</v>
      </c>
      <c r="AE386" s="790">
        <f t="shared" si="138"/>
        <v>56797215</v>
      </c>
      <c r="AF386" s="789">
        <f t="shared" si="138"/>
        <v>49529783</v>
      </c>
      <c r="AG386" s="791">
        <f t="shared" si="138"/>
        <v>43851778</v>
      </c>
      <c r="AH386" s="788">
        <f t="shared" si="138"/>
        <v>76477196</v>
      </c>
      <c r="AI386" s="789">
        <f t="shared" si="138"/>
        <v>59916119</v>
      </c>
      <c r="AJ386" s="789">
        <f t="shared" si="138"/>
        <v>57550603</v>
      </c>
      <c r="AK386" s="790">
        <f t="shared" si="138"/>
        <v>34341007</v>
      </c>
      <c r="AL386" s="789">
        <f t="shared" si="138"/>
        <v>34688802</v>
      </c>
      <c r="AM386" s="791">
        <f t="shared" si="138"/>
        <v>34854181</v>
      </c>
      <c r="AN386" s="788">
        <f t="shared" si="138"/>
        <v>43414395</v>
      </c>
      <c r="AO386" s="789">
        <f t="shared" si="138"/>
        <v>40487829</v>
      </c>
      <c r="AP386" s="789">
        <f t="shared" si="138"/>
        <v>40271739</v>
      </c>
      <c r="AQ386" s="790">
        <f t="shared" si="138"/>
        <v>53058658</v>
      </c>
      <c r="AR386" s="789">
        <f t="shared" si="138"/>
        <v>52652010</v>
      </c>
      <c r="AS386" s="791">
        <f t="shared" si="138"/>
        <v>52662843</v>
      </c>
      <c r="AT386" s="788">
        <f t="shared" si="138"/>
        <v>23527201</v>
      </c>
      <c r="AU386" s="789">
        <f t="shared" si="138"/>
        <v>24120943</v>
      </c>
      <c r="AV386" s="789">
        <f t="shared" si="138"/>
        <v>24171343</v>
      </c>
      <c r="AW386" s="790">
        <f t="shared" si="138"/>
        <v>28571023</v>
      </c>
      <c r="AX386" s="789">
        <f t="shared" si="138"/>
        <v>26511990</v>
      </c>
      <c r="AY386" s="791">
        <f t="shared" si="138"/>
        <v>26451096</v>
      </c>
      <c r="AZ386" s="788">
        <f t="shared" si="138"/>
        <v>8604638</v>
      </c>
      <c r="BA386" s="789">
        <f t="shared" si="138"/>
        <v>8701359</v>
      </c>
      <c r="BB386" s="789">
        <f t="shared" si="138"/>
        <v>8705435</v>
      </c>
      <c r="BC386" s="790">
        <f t="shared" si="138"/>
        <v>5717087</v>
      </c>
      <c r="BD386" s="789">
        <f t="shared" si="138"/>
        <v>5822875</v>
      </c>
      <c r="BE386" s="791">
        <f t="shared" si="138"/>
        <v>5827380</v>
      </c>
      <c r="BF386" s="788">
        <f t="shared" si="138"/>
        <v>33518680</v>
      </c>
      <c r="BG386" s="789">
        <f t="shared" si="138"/>
        <v>33797099</v>
      </c>
      <c r="BH386" s="789">
        <f t="shared" si="138"/>
        <v>34299975</v>
      </c>
      <c r="BI386" s="790">
        <f t="shared" si="138"/>
        <v>32760623</v>
      </c>
      <c r="BJ386" s="789">
        <f t="shared" si="138"/>
        <v>35191635</v>
      </c>
      <c r="BK386" s="791">
        <f t="shared" si="138"/>
        <v>35409600</v>
      </c>
      <c r="BL386" s="788">
        <f t="shared" si="138"/>
        <v>34728724</v>
      </c>
      <c r="BM386" s="789">
        <f t="shared" si="138"/>
        <v>26810553</v>
      </c>
      <c r="BN386" s="789">
        <f t="shared" si="138"/>
        <v>26490169</v>
      </c>
      <c r="BO386" s="790">
        <f t="shared" si="138"/>
        <v>8323983</v>
      </c>
      <c r="BP386" s="789">
        <f t="shared" si="138"/>
        <v>8931883</v>
      </c>
      <c r="BQ386" s="791">
        <f t="shared" si="138"/>
        <v>8903839</v>
      </c>
      <c r="BR386" s="797">
        <f t="shared" si="138"/>
        <v>579677899</v>
      </c>
      <c r="BS386" s="798">
        <f t="shared" ref="BS386:BW386" si="139">BS383</f>
        <v>516430012</v>
      </c>
      <c r="BT386" s="798">
        <f t="shared" si="139"/>
        <v>508053182</v>
      </c>
      <c r="BU386" s="790">
        <f t="shared" si="139"/>
        <v>39730000</v>
      </c>
      <c r="BV386" s="789">
        <f t="shared" si="139"/>
        <v>39730000</v>
      </c>
      <c r="BW386" s="791">
        <f t="shared" si="139"/>
        <v>39730000</v>
      </c>
    </row>
    <row r="387" spans="1:75" s="799" customFormat="1">
      <c r="A387" s="800" t="s">
        <v>49</v>
      </c>
      <c r="B387" s="801"/>
      <c r="C387" s="802"/>
      <c r="D387" s="802"/>
      <c r="E387" s="802" t="s">
        <v>700</v>
      </c>
      <c r="F387" s="803"/>
      <c r="G387" s="804">
        <f t="shared" ref="G387:BR387" si="140">G338</f>
        <v>615579010</v>
      </c>
      <c r="H387" s="805">
        <f t="shared" si="140"/>
        <v>558518774</v>
      </c>
      <c r="I387" s="806">
        <f t="shared" si="140"/>
        <v>541713704</v>
      </c>
      <c r="J387" s="807">
        <f t="shared" si="140"/>
        <v>67937196</v>
      </c>
      <c r="K387" s="808">
        <f t="shared" si="140"/>
        <v>33119055</v>
      </c>
      <c r="L387" s="808">
        <f t="shared" si="140"/>
        <v>31227246</v>
      </c>
      <c r="M387" s="809">
        <f t="shared" si="140"/>
        <v>16160238</v>
      </c>
      <c r="N387" s="808">
        <f t="shared" si="140"/>
        <v>16029815</v>
      </c>
      <c r="O387" s="810">
        <f t="shared" si="140"/>
        <v>15459481</v>
      </c>
      <c r="P387" s="807">
        <f t="shared" si="140"/>
        <v>6757554</v>
      </c>
      <c r="Q387" s="808">
        <f t="shared" si="140"/>
        <v>6804300</v>
      </c>
      <c r="R387" s="808">
        <f t="shared" si="140"/>
        <v>6804507</v>
      </c>
      <c r="S387" s="809">
        <f t="shared" si="140"/>
        <v>8383396</v>
      </c>
      <c r="T387" s="808">
        <f t="shared" si="140"/>
        <v>8131194</v>
      </c>
      <c r="U387" s="808">
        <f t="shared" si="140"/>
        <v>7899777</v>
      </c>
      <c r="V387" s="804">
        <f t="shared" si="140"/>
        <v>13521979</v>
      </c>
      <c r="W387" s="805">
        <f t="shared" si="140"/>
        <v>13848987</v>
      </c>
      <c r="X387" s="808">
        <f t="shared" si="140"/>
        <v>13458909</v>
      </c>
      <c r="Y387" s="811">
        <f t="shared" si="140"/>
        <v>112760363</v>
      </c>
      <c r="Z387" s="812">
        <f t="shared" si="140"/>
        <v>77933351</v>
      </c>
      <c r="AA387" s="813">
        <f t="shared" si="140"/>
        <v>74849920</v>
      </c>
      <c r="AB387" s="807">
        <f t="shared" si="140"/>
        <v>34542445</v>
      </c>
      <c r="AC387" s="808">
        <f t="shared" si="140"/>
        <v>34937973</v>
      </c>
      <c r="AD387" s="808">
        <f t="shared" si="140"/>
        <v>34779760</v>
      </c>
      <c r="AE387" s="809">
        <f t="shared" si="140"/>
        <v>50688368</v>
      </c>
      <c r="AF387" s="808">
        <f t="shared" si="140"/>
        <v>51137210</v>
      </c>
      <c r="AG387" s="810">
        <f t="shared" si="140"/>
        <v>39364578</v>
      </c>
      <c r="AH387" s="807">
        <f t="shared" si="140"/>
        <v>73294633</v>
      </c>
      <c r="AI387" s="808">
        <f t="shared" si="140"/>
        <v>60052133</v>
      </c>
      <c r="AJ387" s="808">
        <f t="shared" si="140"/>
        <v>57691033</v>
      </c>
      <c r="AK387" s="809">
        <f t="shared" si="140"/>
        <v>31713728</v>
      </c>
      <c r="AL387" s="808">
        <f t="shared" si="140"/>
        <v>34004363</v>
      </c>
      <c r="AM387" s="810">
        <f t="shared" si="140"/>
        <v>34079961</v>
      </c>
      <c r="AN387" s="807">
        <f t="shared" si="140"/>
        <v>42636030</v>
      </c>
      <c r="AO387" s="808">
        <f t="shared" si="140"/>
        <v>38959422</v>
      </c>
      <c r="AP387" s="808">
        <f t="shared" si="140"/>
        <v>38738239</v>
      </c>
      <c r="AQ387" s="809">
        <f t="shared" si="140"/>
        <v>51947457</v>
      </c>
      <c r="AR387" s="808">
        <f t="shared" si="140"/>
        <v>52119985</v>
      </c>
      <c r="AS387" s="810">
        <f t="shared" si="140"/>
        <v>52161268</v>
      </c>
      <c r="AT387" s="807">
        <f t="shared" si="140"/>
        <v>23509638</v>
      </c>
      <c r="AU387" s="808">
        <f t="shared" si="140"/>
        <v>23975475</v>
      </c>
      <c r="AV387" s="808">
        <f t="shared" si="140"/>
        <v>23966587</v>
      </c>
      <c r="AW387" s="809">
        <f t="shared" si="140"/>
        <v>28027293</v>
      </c>
      <c r="AX387" s="808">
        <f t="shared" si="140"/>
        <v>26761100</v>
      </c>
      <c r="AY387" s="810">
        <f t="shared" si="140"/>
        <v>26500606</v>
      </c>
      <c r="AZ387" s="807">
        <f t="shared" si="140"/>
        <v>8611351</v>
      </c>
      <c r="BA387" s="808">
        <f t="shared" si="140"/>
        <v>8701359</v>
      </c>
      <c r="BB387" s="808">
        <f t="shared" si="140"/>
        <v>8705435</v>
      </c>
      <c r="BC387" s="809">
        <f t="shared" si="140"/>
        <v>5689531</v>
      </c>
      <c r="BD387" s="808">
        <f t="shared" si="140"/>
        <v>5822875</v>
      </c>
      <c r="BE387" s="810">
        <f t="shared" si="140"/>
        <v>5827380</v>
      </c>
      <c r="BF387" s="807">
        <f t="shared" si="140"/>
        <v>33088680</v>
      </c>
      <c r="BG387" s="808">
        <f t="shared" si="140"/>
        <v>33207099</v>
      </c>
      <c r="BH387" s="808">
        <f t="shared" si="140"/>
        <v>34252475</v>
      </c>
      <c r="BI387" s="809">
        <f t="shared" si="140"/>
        <v>32169503</v>
      </c>
      <c r="BJ387" s="808">
        <f t="shared" si="140"/>
        <v>35482629</v>
      </c>
      <c r="BK387" s="810">
        <f t="shared" si="140"/>
        <v>35297241</v>
      </c>
      <c r="BL387" s="807">
        <f t="shared" si="140"/>
        <v>38948777</v>
      </c>
      <c r="BM387" s="808">
        <f t="shared" si="140"/>
        <v>26777754</v>
      </c>
      <c r="BN387" s="808">
        <f t="shared" si="140"/>
        <v>26814669</v>
      </c>
      <c r="BO387" s="809">
        <f t="shared" si="140"/>
        <v>8221213</v>
      </c>
      <c r="BP387" s="808">
        <f t="shared" si="140"/>
        <v>8916046</v>
      </c>
      <c r="BQ387" s="810">
        <f t="shared" si="140"/>
        <v>8954552</v>
      </c>
      <c r="BR387" s="814">
        <f t="shared" si="140"/>
        <v>575849010</v>
      </c>
      <c r="BS387" s="815">
        <f t="shared" ref="BS387:BW387" si="141">BS338</f>
        <v>518788774</v>
      </c>
      <c r="BT387" s="815">
        <f t="shared" si="141"/>
        <v>501983704</v>
      </c>
      <c r="BU387" s="809">
        <f t="shared" si="141"/>
        <v>39730000</v>
      </c>
      <c r="BV387" s="808">
        <f t="shared" si="141"/>
        <v>39730000</v>
      </c>
      <c r="BW387" s="810">
        <f t="shared" si="141"/>
        <v>39730000</v>
      </c>
    </row>
    <row r="388" spans="1:75" s="799" customFormat="1">
      <c r="A388" s="800" t="s">
        <v>701</v>
      </c>
      <c r="B388" s="801"/>
      <c r="C388" s="802"/>
      <c r="D388" s="802"/>
      <c r="E388" s="802" t="s">
        <v>701</v>
      </c>
      <c r="F388" s="803"/>
      <c r="G388" s="804">
        <f t="shared" ref="G388:BR388" si="142">G386-G387</f>
        <v>3828889</v>
      </c>
      <c r="H388" s="805">
        <f t="shared" si="142"/>
        <v>-2358762</v>
      </c>
      <c r="I388" s="806">
        <f t="shared" si="142"/>
        <v>6069478</v>
      </c>
      <c r="J388" s="807">
        <f t="shared" si="142"/>
        <v>-7607177</v>
      </c>
      <c r="K388" s="808">
        <f t="shared" si="142"/>
        <v>-3410717</v>
      </c>
      <c r="L388" s="808">
        <f t="shared" si="142"/>
        <v>-1214340</v>
      </c>
      <c r="M388" s="809">
        <f t="shared" si="142"/>
        <v>18870</v>
      </c>
      <c r="N388" s="808">
        <f t="shared" si="142"/>
        <v>13475</v>
      </c>
      <c r="O388" s="810">
        <f t="shared" si="142"/>
        <v>13640</v>
      </c>
      <c r="P388" s="807">
        <f t="shared" si="142"/>
        <v>0</v>
      </c>
      <c r="Q388" s="808">
        <f t="shared" si="142"/>
        <v>0</v>
      </c>
      <c r="R388" s="808">
        <f t="shared" si="142"/>
        <v>0</v>
      </c>
      <c r="S388" s="809">
        <f t="shared" si="142"/>
        <v>90354</v>
      </c>
      <c r="T388" s="808">
        <f t="shared" si="142"/>
        <v>106890</v>
      </c>
      <c r="U388" s="808">
        <f t="shared" si="142"/>
        <v>72646</v>
      </c>
      <c r="V388" s="804">
        <f t="shared" si="142"/>
        <v>-291520</v>
      </c>
      <c r="W388" s="805">
        <f t="shared" si="142"/>
        <v>-313840</v>
      </c>
      <c r="X388" s="808">
        <f t="shared" si="142"/>
        <v>101575</v>
      </c>
      <c r="Y388" s="811">
        <f t="shared" si="142"/>
        <v>-7789473</v>
      </c>
      <c r="Z388" s="812">
        <f t="shared" si="142"/>
        <v>-3604192</v>
      </c>
      <c r="AA388" s="813">
        <f t="shared" si="142"/>
        <v>-1026479</v>
      </c>
      <c r="AB388" s="807">
        <f t="shared" si="142"/>
        <v>324134</v>
      </c>
      <c r="AC388" s="808">
        <f t="shared" si="142"/>
        <v>0</v>
      </c>
      <c r="AD388" s="808">
        <f t="shared" si="142"/>
        <v>0</v>
      </c>
      <c r="AE388" s="809">
        <f t="shared" si="142"/>
        <v>6108847</v>
      </c>
      <c r="AF388" s="808">
        <f t="shared" si="142"/>
        <v>-1607427</v>
      </c>
      <c r="AG388" s="810">
        <f t="shared" si="142"/>
        <v>4487200</v>
      </c>
      <c r="AH388" s="807">
        <f t="shared" si="142"/>
        <v>3182563</v>
      </c>
      <c r="AI388" s="808">
        <f t="shared" si="142"/>
        <v>-136014</v>
      </c>
      <c r="AJ388" s="808">
        <f t="shared" si="142"/>
        <v>-140430</v>
      </c>
      <c r="AK388" s="809">
        <f t="shared" si="142"/>
        <v>2627279</v>
      </c>
      <c r="AL388" s="808">
        <f t="shared" si="142"/>
        <v>684439</v>
      </c>
      <c r="AM388" s="810">
        <f t="shared" si="142"/>
        <v>774220</v>
      </c>
      <c r="AN388" s="807">
        <f t="shared" si="142"/>
        <v>778365</v>
      </c>
      <c r="AO388" s="808">
        <f t="shared" si="142"/>
        <v>1528407</v>
      </c>
      <c r="AP388" s="808">
        <f t="shared" si="142"/>
        <v>1533500</v>
      </c>
      <c r="AQ388" s="809">
        <f t="shared" si="142"/>
        <v>1111201</v>
      </c>
      <c r="AR388" s="808">
        <f t="shared" si="142"/>
        <v>532025</v>
      </c>
      <c r="AS388" s="810">
        <f t="shared" si="142"/>
        <v>501575</v>
      </c>
      <c r="AT388" s="807">
        <f t="shared" si="142"/>
        <v>17563</v>
      </c>
      <c r="AU388" s="808">
        <f t="shared" si="142"/>
        <v>145468</v>
      </c>
      <c r="AV388" s="808">
        <f t="shared" si="142"/>
        <v>204756</v>
      </c>
      <c r="AW388" s="809">
        <f t="shared" si="142"/>
        <v>543730</v>
      </c>
      <c r="AX388" s="808">
        <f t="shared" si="142"/>
        <v>-249110</v>
      </c>
      <c r="AY388" s="810">
        <f t="shared" si="142"/>
        <v>-49510</v>
      </c>
      <c r="AZ388" s="807">
        <f t="shared" si="142"/>
        <v>-6713</v>
      </c>
      <c r="BA388" s="808">
        <f t="shared" si="142"/>
        <v>0</v>
      </c>
      <c r="BB388" s="808">
        <f t="shared" si="142"/>
        <v>0</v>
      </c>
      <c r="BC388" s="809">
        <f t="shared" si="142"/>
        <v>27556</v>
      </c>
      <c r="BD388" s="808">
        <f t="shared" si="142"/>
        <v>0</v>
      </c>
      <c r="BE388" s="810">
        <f t="shared" si="142"/>
        <v>0</v>
      </c>
      <c r="BF388" s="807">
        <f t="shared" si="142"/>
        <v>430000</v>
      </c>
      <c r="BG388" s="808">
        <f t="shared" si="142"/>
        <v>590000</v>
      </c>
      <c r="BH388" s="808">
        <f t="shared" si="142"/>
        <v>47500</v>
      </c>
      <c r="BI388" s="809">
        <f t="shared" si="142"/>
        <v>591120</v>
      </c>
      <c r="BJ388" s="808">
        <f t="shared" si="142"/>
        <v>-290994</v>
      </c>
      <c r="BK388" s="810">
        <f t="shared" si="142"/>
        <v>112359</v>
      </c>
      <c r="BL388" s="807">
        <f t="shared" si="142"/>
        <v>-4220053</v>
      </c>
      <c r="BM388" s="808">
        <f t="shared" si="142"/>
        <v>32799</v>
      </c>
      <c r="BN388" s="808">
        <f t="shared" si="142"/>
        <v>-324500</v>
      </c>
      <c r="BO388" s="809">
        <f t="shared" si="142"/>
        <v>102770</v>
      </c>
      <c r="BP388" s="808">
        <f t="shared" si="142"/>
        <v>15837</v>
      </c>
      <c r="BQ388" s="810">
        <f t="shared" si="142"/>
        <v>-50713</v>
      </c>
      <c r="BR388" s="814">
        <f t="shared" si="142"/>
        <v>3828889</v>
      </c>
      <c r="BS388" s="815">
        <f t="shared" ref="BS388:BW388" si="143">BS386-BS387</f>
        <v>-2358762</v>
      </c>
      <c r="BT388" s="815">
        <f t="shared" si="143"/>
        <v>6069478</v>
      </c>
      <c r="BU388" s="809">
        <f t="shared" si="143"/>
        <v>0</v>
      </c>
      <c r="BV388" s="808">
        <f t="shared" si="143"/>
        <v>0</v>
      </c>
      <c r="BW388" s="810">
        <f t="shared" si="143"/>
        <v>0</v>
      </c>
    </row>
    <row r="389" spans="1:75" s="799" customFormat="1">
      <c r="A389" s="800" t="s">
        <v>8</v>
      </c>
      <c r="B389" s="801"/>
      <c r="C389" s="802"/>
      <c r="D389" s="802"/>
      <c r="E389" s="802" t="s">
        <v>8</v>
      </c>
      <c r="F389" s="803"/>
      <c r="G389" s="804">
        <v>77887354</v>
      </c>
      <c r="H389" s="805">
        <v>82273166</v>
      </c>
      <c r="I389" s="806">
        <v>78097422</v>
      </c>
      <c r="J389" s="807">
        <v>25953000</v>
      </c>
      <c r="K389" s="808">
        <v>19149270</v>
      </c>
      <c r="L389" s="808">
        <v>15738553</v>
      </c>
      <c r="M389" s="809">
        <v>490000</v>
      </c>
      <c r="N389" s="808">
        <v>508870</v>
      </c>
      <c r="O389" s="810">
        <v>522345</v>
      </c>
      <c r="P389" s="807">
        <f>'[2]prihodi i primici'!M5</f>
        <v>0</v>
      </c>
      <c r="Q389" s="808">
        <f>'[2]prihodi i primici'!N5</f>
        <v>0</v>
      </c>
      <c r="R389" s="808">
        <f>'[2]prihodi i primici'!O5</f>
        <v>0</v>
      </c>
      <c r="S389" s="809">
        <v>551590</v>
      </c>
      <c r="T389" s="808">
        <v>641944</v>
      </c>
      <c r="U389" s="808">
        <v>748834</v>
      </c>
      <c r="V389" s="804">
        <v>3834326</v>
      </c>
      <c r="W389" s="805">
        <v>3296281</v>
      </c>
      <c r="X389" s="808">
        <v>2982441</v>
      </c>
      <c r="Y389" s="746">
        <f t="shared" ref="Y389:AA390" si="144">J389+M389+P389+S389+V389</f>
        <v>30828916</v>
      </c>
      <c r="Z389" s="747">
        <f t="shared" si="144"/>
        <v>23596365</v>
      </c>
      <c r="AA389" s="748">
        <f t="shared" si="144"/>
        <v>19992173</v>
      </c>
      <c r="AB389" s="807">
        <v>0</v>
      </c>
      <c r="AC389" s="808">
        <v>324134</v>
      </c>
      <c r="AD389" s="808">
        <v>324134</v>
      </c>
      <c r="AE389" s="809">
        <v>6619459</v>
      </c>
      <c r="AF389" s="808">
        <v>12728306</v>
      </c>
      <c r="AG389" s="810">
        <v>11120879</v>
      </c>
      <c r="AH389" s="807">
        <v>7000000</v>
      </c>
      <c r="AI389" s="808">
        <v>10182563</v>
      </c>
      <c r="AJ389" s="808">
        <v>8229567</v>
      </c>
      <c r="AK389" s="809">
        <v>2385321</v>
      </c>
      <c r="AL389" s="808">
        <v>5012600</v>
      </c>
      <c r="AM389" s="810">
        <v>5697039</v>
      </c>
      <c r="AN389" s="807">
        <v>3400000</v>
      </c>
      <c r="AO389" s="808">
        <v>4178366</v>
      </c>
      <c r="AP389" s="808">
        <v>5706773</v>
      </c>
      <c r="AQ389" s="809">
        <v>4300000</v>
      </c>
      <c r="AR389" s="808">
        <v>5411201</v>
      </c>
      <c r="AS389" s="810">
        <v>5943226</v>
      </c>
      <c r="AT389" s="807">
        <v>450000</v>
      </c>
      <c r="AU389" s="808">
        <v>467563</v>
      </c>
      <c r="AV389" s="808">
        <v>613031</v>
      </c>
      <c r="AW389" s="809">
        <v>4195120</v>
      </c>
      <c r="AX389" s="808">
        <v>4738850</v>
      </c>
      <c r="AY389" s="810">
        <v>4489740</v>
      </c>
      <c r="AZ389" s="807">
        <v>750563</v>
      </c>
      <c r="BA389" s="808">
        <v>743850</v>
      </c>
      <c r="BB389" s="808">
        <v>743850</v>
      </c>
      <c r="BC389" s="809">
        <v>22444</v>
      </c>
      <c r="BD389" s="808">
        <v>50000</v>
      </c>
      <c r="BE389" s="808">
        <v>50000</v>
      </c>
      <c r="BF389" s="807">
        <v>1430000</v>
      </c>
      <c r="BG389" s="808">
        <v>1860000</v>
      </c>
      <c r="BH389" s="808">
        <v>2450000</v>
      </c>
      <c r="BI389" s="809">
        <v>11607977</v>
      </c>
      <c r="BJ389" s="808">
        <v>12199097</v>
      </c>
      <c r="BK389" s="810">
        <v>11908103</v>
      </c>
      <c r="BL389" s="807">
        <v>4887254</v>
      </c>
      <c r="BM389" s="808">
        <v>667201</v>
      </c>
      <c r="BN389" s="808">
        <v>700000</v>
      </c>
      <c r="BO389" s="809">
        <v>10300</v>
      </c>
      <c r="BP389" s="808">
        <v>113070</v>
      </c>
      <c r="BQ389" s="810">
        <v>128907</v>
      </c>
      <c r="BR389" s="816">
        <f>AB389+AE389+AH389+AK389+AN389+AQ389+AT389+AW389+AZ389+BC389+BF389+BI389+BL389+BO389+Y389</f>
        <v>77887354</v>
      </c>
      <c r="BS389" s="816">
        <f>AC389+AF389+AI389+AL389+AO389+AR389+AU389+AX389+BA389+BD389+BG389+BJ389+BM389+BP389+Z389</f>
        <v>82273166</v>
      </c>
      <c r="BT389" s="816">
        <f>AD389+AG389+AJ389+AM389+AP389+AS389+AV389+AY389+BB389+BE389+BH389+BK389+BN389+BQ389+AA389</f>
        <v>78097422</v>
      </c>
      <c r="BU389" s="809" t="e">
        <f>'[2]prihodi i primici'!BQ5</f>
        <v>#REF!</v>
      </c>
      <c r="BV389" s="808" t="e">
        <f>'[2]prihodi i primici'!BR5</f>
        <v>#REF!</v>
      </c>
      <c r="BW389" s="810" t="e">
        <f>'[2]prihodi i primici'!BS5</f>
        <v>#REF!</v>
      </c>
    </row>
    <row r="390" spans="1:75" s="799" customFormat="1" ht="24.75" thickBot="1">
      <c r="A390" s="817" t="s">
        <v>10</v>
      </c>
      <c r="B390" s="818"/>
      <c r="C390" s="819"/>
      <c r="D390" s="819"/>
      <c r="E390" s="819" t="s">
        <v>766</v>
      </c>
      <c r="F390" s="820"/>
      <c r="G390" s="821">
        <v>-81716243</v>
      </c>
      <c r="H390" s="822">
        <v>-79914404</v>
      </c>
      <c r="I390" s="823">
        <v>-84166900</v>
      </c>
      <c r="J390" s="824">
        <v>-18345823</v>
      </c>
      <c r="K390" s="825">
        <v>-15738553</v>
      </c>
      <c r="L390" s="825">
        <v>-14524213</v>
      </c>
      <c r="M390" s="826">
        <v>-508870</v>
      </c>
      <c r="N390" s="825">
        <v>-522345</v>
      </c>
      <c r="O390" s="827">
        <v>-535985</v>
      </c>
      <c r="P390" s="824">
        <f>'[2]prihodi i primici'!M7</f>
        <v>0</v>
      </c>
      <c r="Q390" s="825">
        <f>'[2]prihodi i primici'!N7</f>
        <v>0</v>
      </c>
      <c r="R390" s="825">
        <f>'[2]prihodi i primici'!O7</f>
        <v>0</v>
      </c>
      <c r="S390" s="826">
        <v>-641944</v>
      </c>
      <c r="T390" s="825">
        <v>-748834</v>
      </c>
      <c r="U390" s="825">
        <v>-821480</v>
      </c>
      <c r="V390" s="821">
        <v>-3542806</v>
      </c>
      <c r="W390" s="822">
        <v>-2982441</v>
      </c>
      <c r="X390" s="825">
        <v>-3084016</v>
      </c>
      <c r="Y390" s="828">
        <f t="shared" si="144"/>
        <v>-23039443</v>
      </c>
      <c r="Z390" s="829">
        <f t="shared" si="144"/>
        <v>-19992173</v>
      </c>
      <c r="AA390" s="830">
        <f t="shared" si="144"/>
        <v>-18965694</v>
      </c>
      <c r="AB390" s="824">
        <v>-324134</v>
      </c>
      <c r="AC390" s="825">
        <v>-324134</v>
      </c>
      <c r="AD390" s="825">
        <v>-324134</v>
      </c>
      <c r="AE390" s="826">
        <v>-12728306</v>
      </c>
      <c r="AF390" s="825">
        <v>-11120879</v>
      </c>
      <c r="AG390" s="827">
        <v>-15608079</v>
      </c>
      <c r="AH390" s="824">
        <v>-10182563</v>
      </c>
      <c r="AI390" s="825">
        <v>-10046549</v>
      </c>
      <c r="AJ390" s="825">
        <v>-8089137</v>
      </c>
      <c r="AK390" s="826">
        <v>-5012600</v>
      </c>
      <c r="AL390" s="825">
        <v>-5697039</v>
      </c>
      <c r="AM390" s="827">
        <v>-6471259</v>
      </c>
      <c r="AN390" s="824">
        <v>-4178365</v>
      </c>
      <c r="AO390" s="825">
        <v>-5706773</v>
      </c>
      <c r="AP390" s="825">
        <v>-7240273</v>
      </c>
      <c r="AQ390" s="826">
        <v>-5411201</v>
      </c>
      <c r="AR390" s="825">
        <v>-5943226</v>
      </c>
      <c r="AS390" s="827">
        <v>-6444801</v>
      </c>
      <c r="AT390" s="824">
        <v>-467563</v>
      </c>
      <c r="AU390" s="825">
        <v>-613031</v>
      </c>
      <c r="AV390" s="825">
        <v>-817787</v>
      </c>
      <c r="AW390" s="826">
        <v>-4738850</v>
      </c>
      <c r="AX390" s="825">
        <v>-4489740</v>
      </c>
      <c r="AY390" s="827">
        <v>-4440230</v>
      </c>
      <c r="AZ390" s="824">
        <v>-743850</v>
      </c>
      <c r="BA390" s="825">
        <v>-743850</v>
      </c>
      <c r="BB390" s="825">
        <v>-743850</v>
      </c>
      <c r="BC390" s="826">
        <v>-50000</v>
      </c>
      <c r="BD390" s="825">
        <v>-50000</v>
      </c>
      <c r="BE390" s="825">
        <v>-50000</v>
      </c>
      <c r="BF390" s="824">
        <v>-1860000</v>
      </c>
      <c r="BG390" s="825">
        <v>-2450000</v>
      </c>
      <c r="BH390" s="825">
        <v>-2497500</v>
      </c>
      <c r="BI390" s="826">
        <v>-12199097</v>
      </c>
      <c r="BJ390" s="825">
        <v>-11908103</v>
      </c>
      <c r="BK390" s="827">
        <v>-12020462</v>
      </c>
      <c r="BL390" s="824">
        <v>-667201</v>
      </c>
      <c r="BM390" s="825">
        <v>-700000</v>
      </c>
      <c r="BN390" s="825">
        <v>-375500</v>
      </c>
      <c r="BO390" s="826">
        <v>-113070</v>
      </c>
      <c r="BP390" s="825">
        <v>-128907</v>
      </c>
      <c r="BQ390" s="827">
        <v>-78194</v>
      </c>
      <c r="BR390" s="831">
        <v>-81716243</v>
      </c>
      <c r="BS390" s="831">
        <f>AC390+AF390+AI390+AL390+AO390+AR390+AU390+AX390+BA390+BD390+BG390+BJ390+BM390+BP390+Z390</f>
        <v>-79914404</v>
      </c>
      <c r="BT390" s="831">
        <f>AD390+AG390+AJ390+AM390+AP390+AS390+AV390+AY390+BB390+BE390+BH390+BK390+BN390+BQ390+AA390</f>
        <v>-84166900</v>
      </c>
      <c r="BU390" s="826" t="e">
        <f>'[2]prihodi i primici'!BQ7</f>
        <v>#REF!</v>
      </c>
      <c r="BV390" s="825" t="e">
        <f>'[2]prihodi i primici'!BR7</f>
        <v>#REF!</v>
      </c>
      <c r="BW390" s="827" t="e">
        <f>'[2]prihodi i primici'!BS7</f>
        <v>#REF!</v>
      </c>
    </row>
    <row r="391" spans="1:75" s="799" customFormat="1" ht="12.75" thickBot="1">
      <c r="A391" s="832" t="s">
        <v>702</v>
      </c>
      <c r="B391" s="833"/>
      <c r="C391" s="834"/>
      <c r="D391" s="834"/>
      <c r="E391" s="834" t="s">
        <v>702</v>
      </c>
      <c r="F391" s="835"/>
      <c r="G391" s="836">
        <f t="shared" ref="G391:BR391" si="145">G388+G389+G390</f>
        <v>0</v>
      </c>
      <c r="H391" s="837">
        <f t="shared" si="145"/>
        <v>0</v>
      </c>
      <c r="I391" s="838">
        <f t="shared" si="145"/>
        <v>0</v>
      </c>
      <c r="J391" s="839">
        <f t="shared" si="145"/>
        <v>0</v>
      </c>
      <c r="K391" s="837">
        <f t="shared" si="145"/>
        <v>0</v>
      </c>
      <c r="L391" s="837">
        <f t="shared" si="145"/>
        <v>0</v>
      </c>
      <c r="M391" s="836">
        <f t="shared" si="145"/>
        <v>0</v>
      </c>
      <c r="N391" s="837">
        <f t="shared" si="145"/>
        <v>0</v>
      </c>
      <c r="O391" s="838">
        <f t="shared" si="145"/>
        <v>0</v>
      </c>
      <c r="P391" s="839">
        <f t="shared" si="145"/>
        <v>0</v>
      </c>
      <c r="Q391" s="837">
        <f t="shared" si="145"/>
        <v>0</v>
      </c>
      <c r="R391" s="837">
        <f t="shared" si="145"/>
        <v>0</v>
      </c>
      <c r="S391" s="836">
        <f t="shared" si="145"/>
        <v>0</v>
      </c>
      <c r="T391" s="837">
        <f t="shared" si="145"/>
        <v>0</v>
      </c>
      <c r="U391" s="838">
        <f t="shared" si="145"/>
        <v>0</v>
      </c>
      <c r="V391" s="839">
        <f t="shared" si="145"/>
        <v>0</v>
      </c>
      <c r="W391" s="837">
        <f t="shared" si="145"/>
        <v>0</v>
      </c>
      <c r="X391" s="837">
        <f t="shared" si="145"/>
        <v>0</v>
      </c>
      <c r="Y391" s="840">
        <f t="shared" si="145"/>
        <v>0</v>
      </c>
      <c r="Z391" s="841">
        <f t="shared" si="145"/>
        <v>0</v>
      </c>
      <c r="AA391" s="842">
        <f t="shared" si="145"/>
        <v>0</v>
      </c>
      <c r="AB391" s="839">
        <f t="shared" si="145"/>
        <v>0</v>
      </c>
      <c r="AC391" s="837">
        <f t="shared" si="145"/>
        <v>0</v>
      </c>
      <c r="AD391" s="837">
        <f t="shared" si="145"/>
        <v>0</v>
      </c>
      <c r="AE391" s="836">
        <f t="shared" si="145"/>
        <v>0</v>
      </c>
      <c r="AF391" s="837">
        <f t="shared" si="145"/>
        <v>0</v>
      </c>
      <c r="AG391" s="838">
        <f t="shared" si="145"/>
        <v>0</v>
      </c>
      <c r="AH391" s="839">
        <f t="shared" si="145"/>
        <v>0</v>
      </c>
      <c r="AI391" s="837">
        <f t="shared" si="145"/>
        <v>0</v>
      </c>
      <c r="AJ391" s="837">
        <f t="shared" si="145"/>
        <v>0</v>
      </c>
      <c r="AK391" s="836">
        <f t="shared" si="145"/>
        <v>0</v>
      </c>
      <c r="AL391" s="837">
        <f t="shared" si="145"/>
        <v>0</v>
      </c>
      <c r="AM391" s="838">
        <f t="shared" si="145"/>
        <v>0</v>
      </c>
      <c r="AN391" s="839">
        <f t="shared" si="145"/>
        <v>0</v>
      </c>
      <c r="AO391" s="837">
        <f t="shared" si="145"/>
        <v>0</v>
      </c>
      <c r="AP391" s="837">
        <f t="shared" si="145"/>
        <v>0</v>
      </c>
      <c r="AQ391" s="836">
        <f t="shared" si="145"/>
        <v>0</v>
      </c>
      <c r="AR391" s="837">
        <f t="shared" si="145"/>
        <v>0</v>
      </c>
      <c r="AS391" s="838">
        <f t="shared" si="145"/>
        <v>0</v>
      </c>
      <c r="AT391" s="839">
        <f t="shared" si="145"/>
        <v>0</v>
      </c>
      <c r="AU391" s="837">
        <f t="shared" si="145"/>
        <v>0</v>
      </c>
      <c r="AV391" s="837">
        <f t="shared" si="145"/>
        <v>0</v>
      </c>
      <c r="AW391" s="836">
        <f t="shared" si="145"/>
        <v>0</v>
      </c>
      <c r="AX391" s="837">
        <f t="shared" si="145"/>
        <v>0</v>
      </c>
      <c r="AY391" s="838">
        <f t="shared" si="145"/>
        <v>0</v>
      </c>
      <c r="AZ391" s="839">
        <f t="shared" si="145"/>
        <v>0</v>
      </c>
      <c r="BA391" s="837">
        <f t="shared" si="145"/>
        <v>0</v>
      </c>
      <c r="BB391" s="837">
        <f t="shared" si="145"/>
        <v>0</v>
      </c>
      <c r="BC391" s="836">
        <f t="shared" si="145"/>
        <v>0</v>
      </c>
      <c r="BD391" s="837">
        <f t="shared" si="145"/>
        <v>0</v>
      </c>
      <c r="BE391" s="838">
        <f t="shared" si="145"/>
        <v>0</v>
      </c>
      <c r="BF391" s="839">
        <f t="shared" si="145"/>
        <v>0</v>
      </c>
      <c r="BG391" s="837">
        <f t="shared" si="145"/>
        <v>0</v>
      </c>
      <c r="BH391" s="837">
        <f t="shared" si="145"/>
        <v>0</v>
      </c>
      <c r="BI391" s="836">
        <f t="shared" si="145"/>
        <v>0</v>
      </c>
      <c r="BJ391" s="837">
        <f t="shared" si="145"/>
        <v>0</v>
      </c>
      <c r="BK391" s="838">
        <f t="shared" si="145"/>
        <v>0</v>
      </c>
      <c r="BL391" s="839">
        <f t="shared" si="145"/>
        <v>0</v>
      </c>
      <c r="BM391" s="837">
        <f t="shared" si="145"/>
        <v>0</v>
      </c>
      <c r="BN391" s="837">
        <f t="shared" si="145"/>
        <v>0</v>
      </c>
      <c r="BO391" s="836">
        <f t="shared" si="145"/>
        <v>0</v>
      </c>
      <c r="BP391" s="837">
        <f t="shared" si="145"/>
        <v>0</v>
      </c>
      <c r="BQ391" s="838">
        <f t="shared" si="145"/>
        <v>0</v>
      </c>
      <c r="BR391" s="843">
        <f t="shared" si="145"/>
        <v>0</v>
      </c>
      <c r="BS391" s="844">
        <f t="shared" ref="BS391:BW391" si="146">BS388+BS389+BS390</f>
        <v>0</v>
      </c>
      <c r="BT391" s="844">
        <f t="shared" si="146"/>
        <v>0</v>
      </c>
      <c r="BU391" s="836" t="e">
        <f t="shared" si="146"/>
        <v>#REF!</v>
      </c>
      <c r="BV391" s="837" t="e">
        <f t="shared" si="146"/>
        <v>#REF!</v>
      </c>
      <c r="BW391" s="838" t="e">
        <f t="shared" si="146"/>
        <v>#REF!</v>
      </c>
    </row>
    <row r="392" spans="1:75" ht="11.25" customHeight="1">
      <c r="A392" s="845"/>
      <c r="B392" s="845"/>
      <c r="C392" s="845"/>
      <c r="D392" s="845"/>
      <c r="E392" s="845"/>
      <c r="F392" s="845"/>
      <c r="G392" s="845"/>
      <c r="H392" s="845"/>
      <c r="I392" s="845"/>
      <c r="Y392" s="846"/>
      <c r="Z392" s="846"/>
      <c r="AA392" s="846"/>
    </row>
  </sheetData>
  <mergeCells count="62">
    <mergeCell ref="A1:G1"/>
    <mergeCell ref="A4:A5"/>
    <mergeCell ref="B4:B5"/>
    <mergeCell ref="C4:C5"/>
    <mergeCell ref="D4:D5"/>
    <mergeCell ref="E4:E5"/>
    <mergeCell ref="F4:F5"/>
    <mergeCell ref="A3:G3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  <mergeCell ref="AK4:AM4"/>
    <mergeCell ref="AN4:AP4"/>
    <mergeCell ref="AQ4:AS4"/>
    <mergeCell ref="AT4:AV4"/>
    <mergeCell ref="AW4:AY4"/>
    <mergeCell ref="AZ4:BB4"/>
    <mergeCell ref="BC4:BE4"/>
    <mergeCell ref="BF4:BH4"/>
    <mergeCell ref="BI4:BK4"/>
    <mergeCell ref="BL4:BN4"/>
    <mergeCell ref="BO4:BQ4"/>
    <mergeCell ref="BR4:BT4"/>
    <mergeCell ref="BU4:BW4"/>
    <mergeCell ref="A340:A341"/>
    <mergeCell ref="B340:B341"/>
    <mergeCell ref="C340:C341"/>
    <mergeCell ref="D340:D341"/>
    <mergeCell ref="E340:E341"/>
    <mergeCell ref="F340:F341"/>
    <mergeCell ref="G340:I340"/>
    <mergeCell ref="J340:L340"/>
    <mergeCell ref="M340:O340"/>
    <mergeCell ref="P340:R340"/>
    <mergeCell ref="S340:U340"/>
    <mergeCell ref="V340:X340"/>
    <mergeCell ref="Y340:AA340"/>
    <mergeCell ref="AB340:AD340"/>
    <mergeCell ref="BR340:BT340"/>
    <mergeCell ref="BU340:BW340"/>
    <mergeCell ref="AT340:AV340"/>
    <mergeCell ref="AW340:AY340"/>
    <mergeCell ref="AZ340:BB340"/>
    <mergeCell ref="BC340:BE340"/>
    <mergeCell ref="BF340:BH340"/>
    <mergeCell ref="A384:I384"/>
    <mergeCell ref="A385:I385"/>
    <mergeCell ref="BI340:BK340"/>
    <mergeCell ref="BL340:BN340"/>
    <mergeCell ref="BO340:BQ340"/>
    <mergeCell ref="AE340:AG340"/>
    <mergeCell ref="AH340:AJ340"/>
    <mergeCell ref="AK340:AM340"/>
    <mergeCell ref="AN340:AP340"/>
    <mergeCell ref="AQ340:AS340"/>
  </mergeCells>
  <dataValidations count="1">
    <dataValidation type="whole" allowBlank="1" showInputMessage="1" showErrorMessage="1" errorTitle="GREŠKA" error="U ovo polje je dozvoljen unos samo brojčanih vrijednosti (bez decimala!)" sqref="G175:G202 G342:G349 G380:G381 G375:G376 G378 G6:G13 G314:G336 J328:J329 BC123:BE127 AT116:AV116 AT118:AV120 AT122:AV122 AT129:AV131 AT133:AV140 AT148:AV150 AT152:AV152 AT155:AV155 AI315 G15:G62 G64:G107 G109:G158 G160:G165 G167:G172 G366:G370 G204:G238 G254:G271 G274:G275 G277:G281 G283:G296 G299:G312 G337:BW337 G351:G353 G355 G357:G364 G372:G373 G241:G252" xr:uid="{F615D99A-7753-426F-9A30-4314BCD7A3F7}">
      <formula1>0</formula1>
      <formula2>10000000000</formula2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opći dio</vt:lpstr>
      <vt:lpstr>Plan za unos u SAP</vt:lpstr>
      <vt:lpstr>prihodi i primici</vt:lpstr>
      <vt:lpstr>rashodi i izdaci</vt:lpstr>
      <vt:lpstr>Pregled po sastavnicama</vt:lpstr>
      <vt:lpstr>plan 2021-2023 po sastavnicama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ifain</dc:creator>
  <cp:lastModifiedBy>Korisnik</cp:lastModifiedBy>
  <cp:lastPrinted>2021-11-08T10:33:45Z</cp:lastPrinted>
  <dcterms:created xsi:type="dcterms:W3CDTF">2018-09-10T07:36:17Z</dcterms:created>
  <dcterms:modified xsi:type="dcterms:W3CDTF">2022-11-12T21:25:36Z</dcterms:modified>
  <cp:contentStatus/>
</cp:coreProperties>
</file>